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lients\SECCo\05 - Modifications\01 - Modification Register\03 - Modification Proposals Raised\01 - Active Mods\SECMP0016 - Max Credit\03 - Refinement Process\"/>
    </mc:Choice>
  </mc:AlternateContent>
  <bookViews>
    <workbookView xWindow="0" yWindow="0" windowWidth="28800" windowHeight="12210"/>
  </bookViews>
  <sheets>
    <sheet name="Assumptions" sheetId="1" r:id="rId1"/>
    <sheet name="Summary" sheetId="2" r:id="rId2"/>
    <sheet name="Worked Examples" sheetId="4" r:id="rId3"/>
    <sheet name="CCFs" sheetId="3" r:id="rId4"/>
  </sheets>
  <definedNames>
    <definedName name="_xlnm.Print_Area" localSheetId="1">Summary!$B$2:$R$22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4" l="1"/>
  <c r="N7" i="4" s="1"/>
  <c r="N11" i="4" s="1"/>
  <c r="J7" i="4"/>
  <c r="F11" i="4" l="1"/>
  <c r="F9" i="4"/>
  <c r="F8" i="4"/>
  <c r="F4" i="4"/>
  <c r="F5" i="4"/>
  <c r="F6" i="4"/>
  <c r="F13" i="4" l="1"/>
  <c r="F14" i="4" l="1"/>
  <c r="F15" i="4" s="1"/>
  <c r="J9" i="4" l="1"/>
  <c r="N13" i="4"/>
  <c r="N15" i="4" s="1"/>
  <c r="N17" i="4" s="1"/>
  <c r="C22" i="2"/>
  <c r="C11" i="2"/>
  <c r="J11" i="4" l="1"/>
  <c r="J13" i="4" s="1"/>
  <c r="N21" i="4" s="1"/>
  <c r="E22" i="2"/>
  <c r="E11" i="2"/>
  <c r="K5" i="2" l="1"/>
  <c r="N5" i="2"/>
  <c r="N9" i="2"/>
  <c r="K9" i="2"/>
  <c r="K7" i="2"/>
  <c r="N7" i="2"/>
  <c r="D18" i="2"/>
  <c r="O7" i="2"/>
  <c r="R7" i="2"/>
  <c r="L7" i="2"/>
  <c r="Q5" i="2"/>
  <c r="Q9" i="2"/>
  <c r="Q7" i="2"/>
  <c r="D20" i="2"/>
  <c r="R9" i="2"/>
  <c r="L9" i="2"/>
  <c r="O9" i="2"/>
  <c r="D11" i="2"/>
  <c r="D16" i="2"/>
  <c r="O5" i="2"/>
  <c r="R5" i="2"/>
  <c r="L5" i="2"/>
  <c r="D22" i="2" l="1"/>
  <c r="L16" i="2"/>
  <c r="O16" i="2"/>
  <c r="R16" i="2"/>
  <c r="L20" i="2"/>
  <c r="O20" i="2"/>
  <c r="R20" i="2"/>
  <c r="O18" i="2"/>
  <c r="R18" i="2"/>
  <c r="L18" i="2"/>
  <c r="Q20" i="2" l="1"/>
  <c r="Q18" i="2"/>
  <c r="Q16" i="2"/>
  <c r="N20" i="2"/>
  <c r="N16" i="2"/>
  <c r="N18" i="2"/>
  <c r="K20" i="2"/>
  <c r="K16" i="2"/>
  <c r="K18" i="2"/>
</calcChain>
</file>

<file path=xl/comments1.xml><?xml version="1.0" encoding="utf-8"?>
<comments xmlns="http://schemas.openxmlformats.org/spreadsheetml/2006/main">
  <authors>
    <author>Ben McCauley</author>
  </authors>
  <commentList>
    <comment ref="D2" authorId="0" shapeId="0">
      <text>
        <r>
          <rPr>
            <sz val="8"/>
            <color indexed="81"/>
            <rFont val="Calibri   "/>
          </rPr>
          <t>Please change volumes as applicable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" authorId="0" shapeId="0">
      <text>
        <r>
          <rPr>
            <sz val="8"/>
            <color indexed="81"/>
            <rFont val="Calibri"/>
            <family val="2"/>
            <scheme val="minor"/>
          </rPr>
          <t>Please select from list as applicable</t>
        </r>
      </text>
    </comment>
    <comment ref="N9" authorId="0" shapeId="0">
      <text>
        <r>
          <rPr>
            <sz val="8"/>
            <color indexed="81"/>
            <rFont val="Calibri"/>
            <family val="2"/>
            <scheme val="minor"/>
          </rPr>
          <t>Please select value as applicable</t>
        </r>
      </text>
    </comment>
    <comment ref="H11" authorId="0" shapeId="0">
      <text>
        <r>
          <rPr>
            <sz val="8"/>
            <color indexed="81"/>
            <rFont val="Calibri  "/>
          </rPr>
          <t xml:space="preserve">Value at Risk is uplifted by 40% to represent working capital cycle based on assumed settlement of invoices on working day 8 </t>
        </r>
      </text>
    </comment>
    <comment ref="L15" authorId="0" shapeId="0">
      <text>
        <r>
          <rPr>
            <sz val="8"/>
            <color indexed="81"/>
            <rFont val="Calibri  "/>
          </rPr>
          <t xml:space="preserve">Value at Risk is uplifted by 40% to represent working capital cycle based on assumed settlement of invoices on working day 8 </t>
        </r>
      </text>
    </comment>
  </commentList>
</comments>
</file>

<file path=xl/sharedStrings.xml><?xml version="1.0" encoding="utf-8"?>
<sst xmlns="http://schemas.openxmlformats.org/spreadsheetml/2006/main" count="351" uniqueCount="221">
  <si>
    <t>Introduction to the DCC Credit Cover data model</t>
  </si>
  <si>
    <t>•  In order to anonymise the data for individual Parties, figures have been shown as averages across 3 tiers:</t>
  </si>
  <si>
    <t>- Large Portfolio - Parties liable for 80% of monthly DCC charges</t>
  </si>
  <si>
    <t>- Medium Portfolio - Parties liable for charges 19.5% of monthly DCC charges</t>
  </si>
  <si>
    <t>- Small Portfolio - Parties liable for 0.5% of monthly DCC charges (mainly consisting of new market entrants)</t>
  </si>
  <si>
    <r>
      <t xml:space="preserve">•  'Current Position' shows the latest Credit Cover Provisions held by Smart DCC using calculations as stated in the SEC </t>
    </r>
    <r>
      <rPr>
        <i/>
        <sz val="10"/>
        <color theme="1"/>
        <rFont val="Calibri"/>
        <family val="2"/>
      </rPr>
      <t>(note that calculations are explained in greater detail below</t>
    </r>
    <r>
      <rPr>
        <sz val="10"/>
        <color theme="1"/>
        <rFont val="Calibri"/>
        <family val="2"/>
      </rPr>
      <t>)</t>
    </r>
  </si>
  <si>
    <t>•  'Large Non-Payment' shows the financial impact to all Parties in the event of a non-payment by a Party with a Large Portfolio</t>
  </si>
  <si>
    <t>•  'Medium Non-Payment' shows the financial impact to all Parties in the event of a non-payment by a Party with a Medium Portfolio</t>
  </si>
  <si>
    <t>•  'Small Non-Payment' shows the financial impact to all Parties in the event of a non-payment by a Party with a Small Portfolio</t>
  </si>
  <si>
    <t>Model headings</t>
  </si>
  <si>
    <t>• No of Parties - shows the total number within that tier</t>
  </si>
  <si>
    <t>• Market Share - % of total value of DCC monthly invoices</t>
  </si>
  <si>
    <t>• Total Value at Risk - total amount payable each month by Parties within that tier (inclusive of VAT)</t>
  </si>
  <si>
    <t>• Avg VAR - average value of invoice per Party within that tier (inclusive of VAT)</t>
  </si>
  <si>
    <t>• Avg Credit Cover - average amount of Credit Cover held by DCC for each Party within that tier</t>
  </si>
  <si>
    <t>• Avg Credit Cover Factor - average % of Credit Cover required from each Party within that tier</t>
  </si>
  <si>
    <t>• Non-payment Month 1 - amount of debt to be socialised to each Party in event of non-payment by a Party within that tier in the first month</t>
  </si>
  <si>
    <t xml:space="preserve">• Non-payment Month 2 - amount of debt to be socialised to each Party in the second month (and each following month) assuming Party continues with non-payment of DCC invoices </t>
  </si>
  <si>
    <t>Credit Cover Factor Assumptions &amp; Calculations</t>
  </si>
  <si>
    <t>•  All Parties Maximum Credit Values are as per their individual Dun &amp; Bradstreet Reports as at 9th September 2016</t>
  </si>
  <si>
    <t>•  As per Section J4.8 of the SEC, Parties whose Value at Risk does not exceed £2,000 are not required to provide Credit Cover Support</t>
  </si>
  <si>
    <t>• The Credit Cover Requirement calculations are as follows:</t>
  </si>
  <si>
    <t>Current Position</t>
  </si>
  <si>
    <t>No of Parties</t>
  </si>
  <si>
    <t>% of DCC Charges</t>
  </si>
  <si>
    <t>Total Value at Risk (VAR)</t>
  </si>
  <si>
    <t>Avg VAR (£000s)</t>
  </si>
  <si>
    <t>Avg Credit Cover (£000s)</t>
  </si>
  <si>
    <t>Avg Credit Cover Factor</t>
  </si>
  <si>
    <t>Bad Debt Risk (£000s)</t>
  </si>
  <si>
    <t>Large Non-Payment</t>
  </si>
  <si>
    <t>Medium Non-Payment</t>
  </si>
  <si>
    <t>Small Non-Payment</t>
  </si>
  <si>
    <t>Month 1</t>
  </si>
  <si>
    <t>Month 2</t>
  </si>
  <si>
    <t>Large Portfolio</t>
  </si>
  <si>
    <t>Medium Portfolio</t>
  </si>
  <si>
    <t>Small Portfolio</t>
  </si>
  <si>
    <t>Total</t>
  </si>
  <si>
    <t>Propsed Change: SECMP0016</t>
  </si>
  <si>
    <t xml:space="preserve">DBRS </t>
  </si>
  <si>
    <t xml:space="preserve">Moody’s </t>
  </si>
  <si>
    <t>Fitch</t>
  </si>
  <si>
    <t xml:space="preserve"> Standard and Poor’s </t>
  </si>
  <si>
    <t>SEC Credit Cover Factor (%)</t>
  </si>
  <si>
    <t>Check It (ICC) Credit Score Report</t>
  </si>
  <si>
    <t>Dunn &amp; Bradstreet / N2 Check Comprehensive Report</t>
  </si>
  <si>
    <t>Equifax</t>
  </si>
  <si>
    <t>Experian Bronze, Silver or Gold Report</t>
  </si>
  <si>
    <t>Graydons Level 1, Level 2 or Level 3 Report</t>
  </si>
  <si>
    <t xml:space="preserve">Long-Term </t>
  </si>
  <si>
    <t>Short-Term</t>
  </si>
  <si>
    <t>AAA</t>
  </si>
  <si>
    <t>R-1 H</t>
  </si>
  <si>
    <t>Aaa</t>
  </si>
  <si>
    <t>P-1</t>
  </si>
  <si>
    <t>F1+</t>
  </si>
  <si>
    <t>A-1+</t>
  </si>
  <si>
    <t>95-100</t>
  </si>
  <si>
    <t>5A1</t>
  </si>
  <si>
    <t>A+</t>
  </si>
  <si>
    <t>1A</t>
  </si>
  <si>
    <t>AA (high)</t>
  </si>
  <si>
    <t>Aa1</t>
  </si>
  <si>
    <t>AA+</t>
  </si>
  <si>
    <t>90-94</t>
  </si>
  <si>
    <t>5A2/4A1</t>
  </si>
  <si>
    <t>A /A-</t>
  </si>
  <si>
    <t>1B/2A</t>
  </si>
  <si>
    <t>AA</t>
  </si>
  <si>
    <t>R-1 M</t>
  </si>
  <si>
    <t>Aa2</t>
  </si>
  <si>
    <t>80-89</t>
  </si>
  <si>
    <t>5A3/4A2/3A1</t>
  </si>
  <si>
    <t>B+</t>
  </si>
  <si>
    <t>1C/2B/3A</t>
  </si>
  <si>
    <t>AA (low)</t>
  </si>
  <si>
    <t>AA-</t>
  </si>
  <si>
    <t>70-79</t>
  </si>
  <si>
    <t>4A3/3A2/2A1</t>
  </si>
  <si>
    <t>B/B-</t>
  </si>
  <si>
    <t>2C/3B/4A</t>
  </si>
  <si>
    <t>A (high)</t>
  </si>
  <si>
    <t>R-1 L</t>
  </si>
  <si>
    <t>A1</t>
  </si>
  <si>
    <t>F1</t>
  </si>
  <si>
    <t>A-1</t>
  </si>
  <si>
    <t>60-69</t>
  </si>
  <si>
    <t>3A3/2A2/1A1</t>
  </si>
  <si>
    <t>C+</t>
  </si>
  <si>
    <t>3C/4B/5A</t>
  </si>
  <si>
    <t>A</t>
  </si>
  <si>
    <t>A2</t>
  </si>
  <si>
    <t>50-59</t>
  </si>
  <si>
    <t>2A3/1A2/A1</t>
  </si>
  <si>
    <t>C/C-</t>
  </si>
  <si>
    <t>4C/5B/6A</t>
  </si>
  <si>
    <t>A (low)</t>
  </si>
  <si>
    <t>A3</t>
  </si>
  <si>
    <t>P-2</t>
  </si>
  <si>
    <t>A-</t>
  </si>
  <si>
    <t>F2</t>
  </si>
  <si>
    <t>A-2</t>
  </si>
  <si>
    <t>40-49</t>
  </si>
  <si>
    <t>1A3/A2/B1</t>
  </si>
  <si>
    <t>D+</t>
  </si>
  <si>
    <t>5C/6B/7A</t>
  </si>
  <si>
    <t>BBB (high)</t>
  </si>
  <si>
    <t>R-2 H</t>
  </si>
  <si>
    <t>Baa1</t>
  </si>
  <si>
    <t>BBB+</t>
  </si>
  <si>
    <t>30-39</t>
  </si>
  <si>
    <t>A3/B2/C1</t>
  </si>
  <si>
    <t>D/D-</t>
  </si>
  <si>
    <t>6C/7B/8A</t>
  </si>
  <si>
    <t>BBB</t>
  </si>
  <si>
    <t>R-2 M</t>
  </si>
  <si>
    <t>Baa2</t>
  </si>
  <si>
    <t>P-3</t>
  </si>
  <si>
    <t>F3</t>
  </si>
  <si>
    <t>A-3</t>
  </si>
  <si>
    <t>20-29</t>
  </si>
  <si>
    <t>B3/C2/D1</t>
  </si>
  <si>
    <t>E+</t>
  </si>
  <si>
    <t>8B</t>
  </si>
  <si>
    <t>BBB (low)</t>
  </si>
  <si>
    <t>R-2 L</t>
  </si>
  <si>
    <t>Baa3</t>
  </si>
  <si>
    <t>BBB-</t>
  </si>
  <si>
    <t>10-19</t>
  </si>
  <si>
    <t>C3/D2/E1</t>
  </si>
  <si>
    <t>E/E-</t>
  </si>
  <si>
    <t>8C</t>
  </si>
  <si>
    <t>BB (high)</t>
  </si>
  <si>
    <t>-</t>
  </si>
  <si>
    <t>Ba1</t>
  </si>
  <si>
    <t>BB+</t>
  </si>
  <si>
    <t>Below 10</t>
  </si>
  <si>
    <t>Below E1</t>
  </si>
  <si>
    <t>Below E-</t>
  </si>
  <si>
    <t>Below 8C</t>
  </si>
  <si>
    <t>BB</t>
  </si>
  <si>
    <t>Ba2</t>
  </si>
  <si>
    <t>BB (low)</t>
  </si>
  <si>
    <t>Ba3</t>
  </si>
  <si>
    <t xml:space="preserve">BB- </t>
  </si>
  <si>
    <t>lower</t>
  </si>
  <si>
    <t>Charge Group</t>
  </si>
  <si>
    <t>g1</t>
  </si>
  <si>
    <t>g3</t>
  </si>
  <si>
    <t>g4</t>
  </si>
  <si>
    <t>ELEC</t>
  </si>
  <si>
    <t>GAS</t>
  </si>
  <si>
    <t>Volume</t>
  </si>
  <si>
    <t>Total Charges</t>
  </si>
  <si>
    <t>Price</t>
  </si>
  <si>
    <t>Fixed CH Charges</t>
  </si>
  <si>
    <t>CH Stock Level Charges</t>
  </si>
  <si>
    <t>VAT 20%</t>
  </si>
  <si>
    <t>Charge Type</t>
  </si>
  <si>
    <t>5A2</t>
  </si>
  <si>
    <t>4A1</t>
  </si>
  <si>
    <t>5A3</t>
  </si>
  <si>
    <t>4A2</t>
  </si>
  <si>
    <t>3A1</t>
  </si>
  <si>
    <t>4A3</t>
  </si>
  <si>
    <t>3A2</t>
  </si>
  <si>
    <t>2A1</t>
  </si>
  <si>
    <t>3A3</t>
  </si>
  <si>
    <t>2A2</t>
  </si>
  <si>
    <t>1A1</t>
  </si>
  <si>
    <t>2A3</t>
  </si>
  <si>
    <t>1A2</t>
  </si>
  <si>
    <t>2A4</t>
  </si>
  <si>
    <t>1A3</t>
  </si>
  <si>
    <t>B1</t>
  </si>
  <si>
    <t>1A4</t>
  </si>
  <si>
    <t>B2</t>
  </si>
  <si>
    <t>C1</t>
  </si>
  <si>
    <t>B3</t>
  </si>
  <si>
    <t>C2</t>
  </si>
  <si>
    <t>D1</t>
  </si>
  <si>
    <t>C3</t>
  </si>
  <si>
    <t>D2</t>
  </si>
  <si>
    <t>E1</t>
  </si>
  <si>
    <t>E2</t>
  </si>
  <si>
    <t>G2</t>
  </si>
  <si>
    <t>H1</t>
  </si>
  <si>
    <t>H2</t>
  </si>
  <si>
    <t>H3</t>
  </si>
  <si>
    <t>N1</t>
  </si>
  <si>
    <t>N2</t>
  </si>
  <si>
    <t>N3</t>
  </si>
  <si>
    <t>N4</t>
  </si>
  <si>
    <t>Recognised Credit Rating / Credit Assessment Score</t>
  </si>
  <si>
    <t>Current Credit Cover Requirement</t>
  </si>
  <si>
    <t>Proposed Credit Cover Requirement</t>
  </si>
  <si>
    <t>VALUE AT RISK (VAR)</t>
  </si>
  <si>
    <t>VAR plus Working Capital Adjustment</t>
  </si>
  <si>
    <t>CREDIT COVER REQUIREMENT</t>
  </si>
  <si>
    <t>Value at Risk</t>
  </si>
  <si>
    <t>•  Model has been built to show the levels of Credit Cover Provisions held by Smart DCC and the residual risks to Parties in the event of non-payment of a DCC invoice by an individual Party</t>
  </si>
  <si>
    <t xml:space="preserve">Current Position = Party's VAR x 1.4 x CCF  </t>
  </si>
  <si>
    <t>Credit Cover Factor (CCF)</t>
  </si>
  <si>
    <t>Calculation = VAR x CCF</t>
  </si>
  <si>
    <t xml:space="preserve">Propsed Change: SECMP0016 = Party's VAR x 1.4 - (Maximum Credit Value x Unsecured Credit Factor) </t>
  </si>
  <si>
    <t>Propsosed Unsecured Credit Factor
(% of Maximum Credit)</t>
  </si>
  <si>
    <t>Propsosed Unsecured Credit Factor 
(% of Maximum Credit)</t>
  </si>
  <si>
    <t>Unsecured Credit Factor (UCF)</t>
  </si>
  <si>
    <t>How to use Worked Examples</t>
  </si>
  <si>
    <r>
      <t xml:space="preserve">• </t>
    </r>
    <r>
      <rPr>
        <b/>
        <sz val="10"/>
        <color theme="1"/>
        <rFont val="Calibri"/>
        <family val="2"/>
        <scheme val="minor"/>
      </rPr>
      <t>Value at Risk Table</t>
    </r>
    <r>
      <rPr>
        <sz val="10"/>
        <color theme="1"/>
        <rFont val="Calibri"/>
        <family val="2"/>
        <scheme val="minor"/>
      </rPr>
      <t>:  Input applicable volume of meters per Charging Group / Type to calculate Party's Value at Risk (column D)</t>
    </r>
  </si>
  <si>
    <r>
      <t xml:space="preserve">• </t>
    </r>
    <r>
      <rPr>
        <b/>
        <sz val="10"/>
        <color theme="1"/>
        <rFont val="Calibri"/>
        <family val="2"/>
        <scheme val="minor"/>
      </rPr>
      <t xml:space="preserve">Current Credit Cover Requirement:  </t>
    </r>
    <r>
      <rPr>
        <sz val="10"/>
        <color theme="1"/>
        <rFont val="Calibri"/>
        <family val="2"/>
        <scheme val="minor"/>
      </rPr>
      <t>Select current credit rating from list (cell J4) to calculate current Credit Cover Requirement</t>
    </r>
  </si>
  <si>
    <r>
      <t xml:space="preserve">• </t>
    </r>
    <r>
      <rPr>
        <b/>
        <sz val="10"/>
        <color theme="1"/>
        <rFont val="Calibri"/>
        <family val="2"/>
        <scheme val="minor"/>
      </rPr>
      <t xml:space="preserve">Proposed Credit Cover Requirement:  </t>
    </r>
    <r>
      <rPr>
        <sz val="10"/>
        <color theme="1"/>
        <rFont val="Calibri"/>
        <family val="2"/>
        <scheme val="minor"/>
      </rPr>
      <t>Input Maximum Credit value per independent Credit Assessment to calculate Proposed Credit Cover Requirement</t>
    </r>
  </si>
  <si>
    <t>CHANGE IN REQUIREMENT</t>
  </si>
  <si>
    <t>•  Credit Cover Factor (CCF) &amp; Unsecured Credit Factor percentages for each credit rating are shown in the relevant columns for each model in the tables contained in the CCFs tab</t>
  </si>
  <si>
    <t>Maximum Credit Value (MCV)</t>
  </si>
  <si>
    <r>
      <t>Unsecured Credit Limit (</t>
    </r>
    <r>
      <rPr>
        <b/>
        <i/>
        <sz val="10"/>
        <color theme="1"/>
        <rFont val="Calibri"/>
        <family val="2"/>
        <scheme val="minor"/>
      </rPr>
      <t>UCF x MCV</t>
    </r>
    <r>
      <rPr>
        <b/>
        <sz val="10"/>
        <color theme="1"/>
        <rFont val="Calibri"/>
        <family val="2"/>
        <scheme val="minor"/>
      </rPr>
      <t>)</t>
    </r>
  </si>
  <si>
    <t>Calculation = VAR - Unsecured Credit Limit</t>
  </si>
  <si>
    <t>•  All models use, where relevant, the Standard &amp; Poor's or Dun &amp; Bradstreet Credit Ratings as per the tables contained in the CCFs tab</t>
  </si>
  <si>
    <t>•  'Proposed Change: SECMP0016' shows the revised Credit Cover Provisions as per proposed method of deducting Parties Unsecured Credit Limit from Value at Risk</t>
  </si>
  <si>
    <t>• Bad Debt Risk (£000s) - average value of unsecured credit for each Party within that 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</si>
</sst>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#,##0.0,;[Red]\-#,##0.0,"/>
    <numFmt numFmtId="166" formatCode="_-&quot;£&quot;* #,##0_-;\-&quot;£&quot;* #,##0_-;_-&quot;£&quot;* &quot;-&quot;??_-;_-@_-"/>
    <numFmt numFmtId="167" formatCode="_-* #,##0_-;\-* #,##0_-;_-* &quot;-&quot;??_-;_-@_-"/>
    <numFmt numFmtId="168" formatCode="_-&quot;£&quot;* #,##0.000_-;\-&quot;£&quot;* #,##0.000_-;_-&quot;£&quot;* &quot;-&quot;??_-;_-@_-"/>
    <numFmt numFmtId="169" formatCode="_-&quot;£&quot;* #,##0_-;\-&quot;£&quot;* #,##0_-;_-&quot;£&quot;* &quot;-&quot;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9"/>
      <color indexed="81"/>
      <name val="Tahoma"/>
      <family val="2"/>
    </font>
    <font>
      <sz val="8"/>
      <color indexed="81"/>
      <name val="Calibri  "/>
    </font>
    <font>
      <sz val="8"/>
      <color indexed="81"/>
      <name val="Calibri"/>
      <family val="2"/>
      <scheme val="minor"/>
    </font>
    <font>
      <sz val="8"/>
      <color indexed="81"/>
      <name val="Calibri   "/>
    </font>
    <font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 style="thin">
        <color indexed="64"/>
      </bottom>
      <diagonal/>
    </border>
    <border>
      <left/>
      <right style="thin">
        <color theme="3" tint="0.79998168889431442"/>
      </right>
      <top/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/>
      <right style="thin">
        <color theme="3" tint="0.79998168889431442"/>
      </right>
      <top/>
      <bottom/>
      <diagonal/>
    </border>
    <border>
      <left style="thin">
        <color theme="3" tint="0.79998168889431442"/>
      </left>
      <right/>
      <top/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quotePrefix="1" applyFont="1" applyAlignment="1">
      <alignment horizontal="left" indent="2"/>
    </xf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0" fillId="0" borderId="10" xfId="0" applyFont="1" applyBorder="1"/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9" fontId="9" fillId="0" borderId="0" xfId="3" applyFont="1" applyBorder="1" applyAlignment="1">
      <alignment horizontal="center"/>
    </xf>
    <xf numFmtId="165" fontId="9" fillId="0" borderId="11" xfId="0" applyNumberFormat="1" applyFont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6" fontId="9" fillId="0" borderId="0" xfId="2" applyNumberFormat="1" applyFont="1" applyAlignment="1">
      <alignment horizontal="center"/>
    </xf>
    <xf numFmtId="0" fontId="10" fillId="0" borderId="5" xfId="0" applyFont="1" applyBorder="1"/>
    <xf numFmtId="1" fontId="9" fillId="0" borderId="6" xfId="2" applyNumberFormat="1" applyFont="1" applyBorder="1" applyAlignment="1">
      <alignment horizontal="center"/>
    </xf>
    <xf numFmtId="166" fontId="9" fillId="0" borderId="6" xfId="2" applyNumberFormat="1" applyFont="1" applyBorder="1" applyAlignment="1">
      <alignment horizontal="center"/>
    </xf>
    <xf numFmtId="166" fontId="9" fillId="0" borderId="7" xfId="2" applyNumberFormat="1" applyFont="1" applyBorder="1" applyAlignment="1">
      <alignment horizontal="center"/>
    </xf>
    <xf numFmtId="166" fontId="9" fillId="0" borderId="13" xfId="2" applyNumberFormat="1" applyFont="1" applyBorder="1" applyAlignment="1">
      <alignment horizontal="center"/>
    </xf>
    <xf numFmtId="1" fontId="10" fillId="0" borderId="6" xfId="2" applyNumberFormat="1" applyFont="1" applyBorder="1" applyAlignment="1">
      <alignment horizontal="center"/>
    </xf>
    <xf numFmtId="9" fontId="10" fillId="0" borderId="6" xfId="3" applyFont="1" applyBorder="1" applyAlignment="1">
      <alignment horizontal="center"/>
    </xf>
    <xf numFmtId="165" fontId="10" fillId="0" borderId="6" xfId="2" applyNumberFormat="1" applyFont="1" applyBorder="1" applyAlignment="1">
      <alignment horizontal="center"/>
    </xf>
    <xf numFmtId="165" fontId="10" fillId="0" borderId="7" xfId="2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8" fillId="2" borderId="19" xfId="0" applyFont="1" applyFill="1" applyBorder="1"/>
    <xf numFmtId="0" fontId="8" fillId="2" borderId="20" xfId="0" applyFont="1" applyFill="1" applyBorder="1"/>
    <xf numFmtId="0" fontId="9" fillId="0" borderId="17" xfId="0" applyFont="1" applyBorder="1"/>
    <xf numFmtId="0" fontId="9" fillId="0" borderId="18" xfId="0" applyFont="1" applyBorder="1"/>
    <xf numFmtId="0" fontId="10" fillId="0" borderId="18" xfId="0" applyFont="1" applyBorder="1" applyAlignment="1">
      <alignment horizontal="center"/>
    </xf>
    <xf numFmtId="49" fontId="9" fillId="0" borderId="22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49" fontId="9" fillId="0" borderId="23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0" fontId="10" fillId="0" borderId="23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9" fillId="0" borderId="19" xfId="0" applyFont="1" applyBorder="1"/>
    <xf numFmtId="0" fontId="9" fillId="0" borderId="21" xfId="0" applyFont="1" applyBorder="1"/>
    <xf numFmtId="0" fontId="10" fillId="0" borderId="21" xfId="0" applyFont="1" applyBorder="1" applyAlignment="1">
      <alignment horizontal="center"/>
    </xf>
    <xf numFmtId="0" fontId="7" fillId="0" borderId="0" xfId="0" applyFont="1"/>
    <xf numFmtId="17" fontId="9" fillId="0" borderId="0" xfId="0" applyNumberFormat="1" applyFont="1"/>
    <xf numFmtId="0" fontId="3" fillId="0" borderId="0" xfId="0" applyFont="1"/>
    <xf numFmtId="0" fontId="11" fillId="0" borderId="0" xfId="0" applyFont="1"/>
    <xf numFmtId="0" fontId="2" fillId="0" borderId="31" xfId="0" applyFont="1" applyBorder="1"/>
    <xf numFmtId="0" fontId="2" fillId="0" borderId="32" xfId="0" applyFont="1" applyBorder="1"/>
    <xf numFmtId="0" fontId="3" fillId="0" borderId="26" xfId="0" applyFont="1" applyBorder="1"/>
    <xf numFmtId="0" fontId="3" fillId="0" borderId="0" xfId="0" applyFont="1" applyBorder="1"/>
    <xf numFmtId="0" fontId="3" fillId="0" borderId="34" xfId="0" applyFont="1" applyBorder="1"/>
    <xf numFmtId="0" fontId="3" fillId="0" borderId="26" xfId="0" applyFont="1" applyBorder="1" applyAlignment="1">
      <alignment horizontal="left" indent="1"/>
    </xf>
    <xf numFmtId="167" fontId="3" fillId="0" borderId="0" xfId="1" applyNumberFormat="1" applyFont="1" applyBorder="1"/>
    <xf numFmtId="168" fontId="3" fillId="0" borderId="0" xfId="2" applyNumberFormat="1" applyFont="1" applyBorder="1"/>
    <xf numFmtId="44" fontId="3" fillId="0" borderId="0" xfId="2" applyNumberFormat="1" applyFont="1" applyBorder="1"/>
    <xf numFmtId="44" fontId="2" fillId="0" borderId="25" xfId="0" applyNumberFormat="1" applyFont="1" applyBorder="1"/>
    <xf numFmtId="0" fontId="3" fillId="0" borderId="32" xfId="0" applyFont="1" applyBorder="1"/>
    <xf numFmtId="0" fontId="13" fillId="2" borderId="32" xfId="0" applyFont="1" applyFill="1" applyBorder="1"/>
    <xf numFmtId="44" fontId="12" fillId="2" borderId="25" xfId="0" applyNumberFormat="1" applyFont="1" applyFill="1" applyBorder="1"/>
    <xf numFmtId="0" fontId="12" fillId="2" borderId="31" xfId="0" applyFont="1" applyFill="1" applyBorder="1"/>
    <xf numFmtId="0" fontId="12" fillId="2" borderId="32" xfId="0" applyFont="1" applyFill="1" applyBorder="1"/>
    <xf numFmtId="0" fontId="12" fillId="2" borderId="32" xfId="0" applyFont="1" applyFill="1" applyBorder="1" applyAlignment="1">
      <alignment horizontal="right"/>
    </xf>
    <xf numFmtId="0" fontId="12" fillId="2" borderId="25" xfId="0" applyFont="1" applyFill="1" applyBorder="1" applyAlignment="1">
      <alignment horizontal="right"/>
    </xf>
    <xf numFmtId="44" fontId="2" fillId="0" borderId="34" xfId="2" applyFont="1" applyBorder="1"/>
    <xf numFmtId="0" fontId="2" fillId="0" borderId="34" xfId="0" applyFont="1" applyBorder="1"/>
    <xf numFmtId="0" fontId="14" fillId="0" borderId="0" xfId="0" applyFont="1" applyFill="1"/>
    <xf numFmtId="9" fontId="14" fillId="0" borderId="0" xfId="3" applyNumberFormat="1" applyFont="1" applyFill="1" applyAlignment="1">
      <alignment horizontal="center"/>
    </xf>
    <xf numFmtId="164" fontId="14" fillId="0" borderId="0" xfId="3" applyNumberFormat="1" applyFont="1" applyFill="1" applyAlignment="1">
      <alignment horizontal="center"/>
    </xf>
    <xf numFmtId="0" fontId="12" fillId="2" borderId="8" xfId="0" applyFont="1" applyFill="1" applyBorder="1" applyAlignment="1">
      <alignment horizontal="left"/>
    </xf>
    <xf numFmtId="0" fontId="12" fillId="2" borderId="29" xfId="0" applyFont="1" applyFill="1" applyBorder="1" applyAlignment="1">
      <alignment horizontal="center"/>
    </xf>
    <xf numFmtId="0" fontId="3" fillId="0" borderId="27" xfId="0" applyFont="1" applyBorder="1"/>
    <xf numFmtId="0" fontId="3" fillId="0" borderId="27" xfId="0" applyFont="1" applyBorder="1" applyAlignment="1">
      <alignment horizontal="right" indent="1"/>
    </xf>
    <xf numFmtId="0" fontId="2" fillId="0" borderId="26" xfId="0" applyFont="1" applyBorder="1"/>
    <xf numFmtId="166" fontId="3" fillId="0" borderId="27" xfId="0" applyNumberFormat="1" applyFont="1" applyBorder="1"/>
    <xf numFmtId="0" fontId="12" fillId="2" borderId="28" xfId="0" applyFont="1" applyFill="1" applyBorder="1"/>
    <xf numFmtId="0" fontId="13" fillId="2" borderId="29" xfId="0" applyFont="1" applyFill="1" applyBorder="1"/>
    <xf numFmtId="166" fontId="12" fillId="2" borderId="30" xfId="2" applyNumberFormat="1" applyFont="1" applyFill="1" applyBorder="1"/>
    <xf numFmtId="166" fontId="2" fillId="0" borderId="33" xfId="0" applyNumberFormat="1" applyFont="1" applyBorder="1"/>
    <xf numFmtId="9" fontId="2" fillId="0" borderId="33" xfId="3" applyFont="1" applyBorder="1" applyAlignment="1">
      <alignment horizontal="right" indent="1"/>
    </xf>
    <xf numFmtId="0" fontId="2" fillId="0" borderId="0" xfId="0" applyFont="1" applyAlignment="1">
      <alignment horizontal="left" indent="1"/>
    </xf>
    <xf numFmtId="44" fontId="3" fillId="0" borderId="0" xfId="2" applyFont="1"/>
    <xf numFmtId="164" fontId="2" fillId="0" borderId="33" xfId="3" applyNumberFormat="1" applyFont="1" applyBorder="1" applyAlignment="1">
      <alignment horizontal="right"/>
    </xf>
    <xf numFmtId="169" fontId="2" fillId="0" borderId="33" xfId="0" applyNumberFormat="1" applyFont="1" applyBorder="1"/>
    <xf numFmtId="0" fontId="12" fillId="3" borderId="29" xfId="0" applyFont="1" applyFill="1" applyBorder="1" applyAlignment="1"/>
    <xf numFmtId="0" fontId="3" fillId="0" borderId="26" xfId="0" applyFont="1" applyBorder="1" applyAlignment="1">
      <alignment horizontal="left"/>
    </xf>
    <xf numFmtId="0" fontId="12" fillId="3" borderId="28" xfId="0" applyFont="1" applyFill="1" applyBorder="1" applyAlignment="1"/>
    <xf numFmtId="166" fontId="12" fillId="3" borderId="30" xfId="2" applyNumberFormat="1" applyFont="1" applyFill="1" applyBorder="1" applyAlignment="1"/>
    <xf numFmtId="0" fontId="19" fillId="0" borderId="0" xfId="0" applyFont="1" applyAlignment="1">
      <alignment horizontal="left" indent="1"/>
    </xf>
    <xf numFmtId="167" fontId="3" fillId="4" borderId="0" xfId="1" applyNumberFormat="1" applyFont="1" applyFill="1" applyBorder="1"/>
    <xf numFmtId="166" fontId="2" fillId="4" borderId="27" xfId="2" applyNumberFormat="1" applyFont="1" applyFill="1" applyBorder="1"/>
    <xf numFmtId="0" fontId="2" fillId="5" borderId="36" xfId="0" applyFont="1" applyFill="1" applyBorder="1"/>
    <xf numFmtId="0" fontId="3" fillId="5" borderId="37" xfId="0" applyFont="1" applyFill="1" applyBorder="1"/>
    <xf numFmtId="166" fontId="2" fillId="5" borderId="35" xfId="2" applyNumberFormat="1" applyFont="1" applyFill="1" applyBorder="1"/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left"/>
    </xf>
    <xf numFmtId="0" fontId="12" fillId="2" borderId="32" xfId="0" applyFont="1" applyFill="1" applyBorder="1" applyAlignment="1">
      <alignment horizontal="left"/>
    </xf>
    <xf numFmtId="0" fontId="12" fillId="2" borderId="33" xfId="0" applyFont="1" applyFill="1" applyBorder="1" applyAlignment="1">
      <alignment horizontal="left"/>
    </xf>
    <xf numFmtId="0" fontId="12" fillId="3" borderId="31" xfId="0" applyFont="1" applyFill="1" applyBorder="1" applyAlignment="1">
      <alignment horizontal="left"/>
    </xf>
    <xf numFmtId="0" fontId="12" fillId="3" borderId="32" xfId="0" applyFont="1" applyFill="1" applyBorder="1" applyAlignment="1">
      <alignment horizontal="left"/>
    </xf>
    <xf numFmtId="0" fontId="12" fillId="3" borderId="33" xfId="0" applyFont="1" applyFill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3" fillId="0" borderId="26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2" fillId="4" borderId="27" xfId="0" applyFont="1" applyFill="1" applyBorder="1" applyAlignment="1">
      <alignment horizontal="right" vertical="center" indent="1"/>
    </xf>
    <xf numFmtId="0" fontId="2" fillId="0" borderId="27" xfId="0" applyFont="1" applyBorder="1" applyAlignment="1">
      <alignment horizontal="right" vertical="center" inden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99"/>
      <color rgb="FF993366"/>
      <color rgb="FFCC3399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38"/>
  <sheetViews>
    <sheetView showGridLines="0" tabSelected="1" workbookViewId="0">
      <selection activeCell="B25" sqref="B25"/>
    </sheetView>
  </sheetViews>
  <sheetFormatPr defaultRowHeight="12.75"/>
  <cols>
    <col min="1" max="1" width="2.7109375" style="2" customWidth="1"/>
    <col min="2" max="2" width="150.85546875" style="2" customWidth="1"/>
    <col min="3" max="16384" width="9.140625" style="2"/>
  </cols>
  <sheetData>
    <row r="1" spans="2:2">
      <c r="B1" s="1" t="s">
        <v>0</v>
      </c>
    </row>
    <row r="2" spans="2:2">
      <c r="B2" s="3" t="s">
        <v>201</v>
      </c>
    </row>
    <row r="3" spans="2:2">
      <c r="B3" s="4" t="s">
        <v>1</v>
      </c>
    </row>
    <row r="4" spans="2:2">
      <c r="B4" s="5" t="s">
        <v>2</v>
      </c>
    </row>
    <row r="5" spans="2:2">
      <c r="B5" s="5" t="s">
        <v>3</v>
      </c>
    </row>
    <row r="6" spans="2:2">
      <c r="B6" s="5" t="s">
        <v>4</v>
      </c>
    </row>
    <row r="7" spans="2:2">
      <c r="B7" s="4" t="s">
        <v>5</v>
      </c>
    </row>
    <row r="8" spans="2:2">
      <c r="B8" s="4" t="s">
        <v>219</v>
      </c>
    </row>
    <row r="9" spans="2:2">
      <c r="B9" s="4" t="s">
        <v>6</v>
      </c>
    </row>
    <row r="10" spans="2:2">
      <c r="B10" s="4" t="s">
        <v>7</v>
      </c>
    </row>
    <row r="11" spans="2:2">
      <c r="B11" s="4" t="s">
        <v>8</v>
      </c>
    </row>
    <row r="12" spans="2:2">
      <c r="B12" s="4"/>
    </row>
    <row r="13" spans="2:2">
      <c r="B13" s="1" t="s">
        <v>9</v>
      </c>
    </row>
    <row r="14" spans="2:2">
      <c r="B14" s="4" t="s">
        <v>10</v>
      </c>
    </row>
    <row r="15" spans="2:2">
      <c r="B15" s="4" t="s">
        <v>11</v>
      </c>
    </row>
    <row r="16" spans="2:2">
      <c r="B16" s="4" t="s">
        <v>12</v>
      </c>
    </row>
    <row r="17" spans="2:2">
      <c r="B17" s="4" t="s">
        <v>13</v>
      </c>
    </row>
    <row r="18" spans="2:2">
      <c r="B18" s="4" t="s">
        <v>14</v>
      </c>
    </row>
    <row r="19" spans="2:2">
      <c r="B19" s="4" t="s">
        <v>15</v>
      </c>
    </row>
    <row r="20" spans="2:2">
      <c r="B20" s="4" t="s">
        <v>220</v>
      </c>
    </row>
    <row r="21" spans="2:2">
      <c r="B21" s="4" t="s">
        <v>16</v>
      </c>
    </row>
    <row r="22" spans="2:2">
      <c r="B22" s="4" t="s">
        <v>17</v>
      </c>
    </row>
    <row r="23" spans="2:2">
      <c r="B23" s="4"/>
    </row>
    <row r="24" spans="2:2">
      <c r="B24" s="6" t="s">
        <v>18</v>
      </c>
    </row>
    <row r="25" spans="2:2">
      <c r="B25" s="4" t="s">
        <v>218</v>
      </c>
    </row>
    <row r="26" spans="2:2">
      <c r="B26" s="4" t="s">
        <v>19</v>
      </c>
    </row>
    <row r="27" spans="2:2">
      <c r="B27" s="7" t="s">
        <v>214</v>
      </c>
    </row>
    <row r="28" spans="2:2">
      <c r="B28" s="4" t="s">
        <v>20</v>
      </c>
    </row>
    <row r="29" spans="2:2">
      <c r="B29" s="4" t="s">
        <v>21</v>
      </c>
    </row>
    <row r="30" spans="2:2" ht="4.5" customHeight="1"/>
    <row r="31" spans="2:2">
      <c r="B31" s="8" t="s">
        <v>202</v>
      </c>
    </row>
    <row r="32" spans="2:2" ht="4.5" customHeight="1"/>
    <row r="33" spans="2:2">
      <c r="B33" s="8" t="s">
        <v>205</v>
      </c>
    </row>
    <row r="35" spans="2:2">
      <c r="B35" s="6" t="s">
        <v>209</v>
      </c>
    </row>
    <row r="36" spans="2:2">
      <c r="B36" s="2" t="s">
        <v>210</v>
      </c>
    </row>
    <row r="37" spans="2:2">
      <c r="B37" s="2" t="s">
        <v>211</v>
      </c>
    </row>
    <row r="38" spans="2:2">
      <c r="B38" s="2" t="s">
        <v>212</v>
      </c>
    </row>
  </sheetData>
  <pageMargins left="0.38" right="0.18" top="0.74803149606299213" bottom="0.6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22"/>
  <sheetViews>
    <sheetView showGridLines="0" zoomScale="110" zoomScaleNormal="110" workbookViewId="0">
      <selection activeCell="N28" sqref="N28"/>
    </sheetView>
  </sheetViews>
  <sheetFormatPr defaultRowHeight="12"/>
  <cols>
    <col min="1" max="1" width="2.7109375" style="11" customWidth="1"/>
    <col min="2" max="2" width="14" style="11" customWidth="1"/>
    <col min="3" max="9" width="12" style="9" customWidth="1"/>
    <col min="10" max="10" width="2.7109375" style="9" customWidth="1"/>
    <col min="11" max="12" width="9.7109375" style="9" customWidth="1"/>
    <col min="13" max="13" width="1.7109375" style="9" customWidth="1"/>
    <col min="14" max="15" width="9.7109375" style="9" customWidth="1"/>
    <col min="16" max="16" width="1.7109375" style="9" customWidth="1"/>
    <col min="17" max="18" width="9.7109375" style="9" customWidth="1"/>
    <col min="19" max="19" width="2.85546875" style="11" customWidth="1"/>
    <col min="20" max="16384" width="9.140625" style="11"/>
  </cols>
  <sheetData>
    <row r="2" spans="2:18">
      <c r="B2" s="120" t="s">
        <v>22</v>
      </c>
      <c r="C2" s="112" t="s">
        <v>23</v>
      </c>
      <c r="D2" s="112" t="s">
        <v>24</v>
      </c>
      <c r="E2" s="112" t="s">
        <v>25</v>
      </c>
      <c r="F2" s="112" t="s">
        <v>26</v>
      </c>
      <c r="G2" s="112" t="s">
        <v>27</v>
      </c>
      <c r="H2" s="112" t="s">
        <v>28</v>
      </c>
      <c r="I2" s="114" t="s">
        <v>29</v>
      </c>
      <c r="K2" s="116" t="s">
        <v>30</v>
      </c>
      <c r="L2" s="117"/>
      <c r="M2" s="10"/>
      <c r="N2" s="116" t="s">
        <v>31</v>
      </c>
      <c r="O2" s="117"/>
      <c r="P2" s="10"/>
      <c r="Q2" s="116" t="s">
        <v>32</v>
      </c>
      <c r="R2" s="117"/>
    </row>
    <row r="3" spans="2:18">
      <c r="B3" s="121"/>
      <c r="C3" s="113"/>
      <c r="D3" s="113"/>
      <c r="E3" s="113"/>
      <c r="F3" s="113"/>
      <c r="G3" s="113"/>
      <c r="H3" s="113"/>
      <c r="I3" s="115"/>
      <c r="K3" s="12" t="s">
        <v>33</v>
      </c>
      <c r="L3" s="13" t="s">
        <v>34</v>
      </c>
      <c r="N3" s="12" t="s">
        <v>33</v>
      </c>
      <c r="O3" s="13" t="s">
        <v>34</v>
      </c>
      <c r="Q3" s="12" t="s">
        <v>33</v>
      </c>
      <c r="R3" s="13" t="s">
        <v>34</v>
      </c>
    </row>
    <row r="4" spans="2:18" ht="2.25" customHeight="1">
      <c r="B4" s="14"/>
      <c r="C4" s="15"/>
      <c r="D4" s="15"/>
      <c r="E4" s="15"/>
      <c r="F4" s="15"/>
      <c r="G4" s="15"/>
      <c r="H4" s="15"/>
      <c r="I4" s="16"/>
      <c r="K4" s="17"/>
      <c r="L4" s="16"/>
      <c r="N4" s="17"/>
      <c r="O4" s="16"/>
      <c r="Q4" s="17"/>
      <c r="R4" s="16"/>
    </row>
    <row r="5" spans="2:18">
      <c r="B5" s="14" t="s">
        <v>35</v>
      </c>
      <c r="C5" s="9">
        <v>8</v>
      </c>
      <c r="D5" s="18">
        <v>0.79727441771462093</v>
      </c>
      <c r="E5" s="19">
        <v>19165600</v>
      </c>
      <c r="F5" s="19">
        <v>2395700</v>
      </c>
      <c r="G5" s="19">
        <v>1619079.5</v>
      </c>
      <c r="H5" s="20">
        <v>0.47499999999999998</v>
      </c>
      <c r="I5" s="21">
        <v>776620.5</v>
      </c>
      <c r="K5" s="22">
        <f>($I$5*$D5)/($C5-1)</f>
        <v>88454.236703248243</v>
      </c>
      <c r="L5" s="21">
        <f>($F$5*$D5)/($C5-1)</f>
        <v>272861.47464555962</v>
      </c>
      <c r="N5" s="22">
        <f>($I$7*$D5)/($C5)</f>
        <v>2898.0670560108574</v>
      </c>
      <c r="O5" s="21">
        <f>($F$7*$D5)/($C5)</f>
        <v>14344.295565382223</v>
      </c>
      <c r="Q5" s="22">
        <f>($I$9*$D5)/($C5)</f>
        <v>36.105734698065781</v>
      </c>
      <c r="R5" s="21">
        <f>($F$9*$D5)/($C5)</f>
        <v>512.83015931122748</v>
      </c>
    </row>
    <row r="6" spans="2:18" ht="2.25" customHeight="1">
      <c r="B6" s="14"/>
      <c r="D6" s="18"/>
      <c r="E6" s="19"/>
      <c r="F6" s="19"/>
      <c r="G6" s="19"/>
      <c r="H6" s="20"/>
      <c r="I6" s="21"/>
      <c r="K6" s="22"/>
      <c r="L6" s="21"/>
      <c r="N6" s="22"/>
      <c r="O6" s="21"/>
      <c r="Q6" s="22"/>
      <c r="R6" s="21"/>
    </row>
    <row r="7" spans="2:18">
      <c r="B7" s="14" t="s">
        <v>36</v>
      </c>
      <c r="C7" s="9">
        <v>33</v>
      </c>
      <c r="D7" s="18">
        <v>0.19758807599349387</v>
      </c>
      <c r="E7" s="19">
        <v>4749800</v>
      </c>
      <c r="F7" s="19">
        <v>143933.33333333334</v>
      </c>
      <c r="G7" s="19">
        <v>114853.58872727273</v>
      </c>
      <c r="H7" s="20">
        <v>0.63030303030303036</v>
      </c>
      <c r="I7" s="21">
        <v>29079.744606060605</v>
      </c>
      <c r="K7" s="22">
        <f>($I$5*$D7)/($C7)</f>
        <v>4650.0287991547029</v>
      </c>
      <c r="L7" s="21">
        <f>($F$5*$D7)/($C7)</f>
        <v>14344.295565382221</v>
      </c>
      <c r="N7" s="22">
        <f>($I$7*$D7)/($C7-1)</f>
        <v>179.55658709667802</v>
      </c>
      <c r="O7" s="21">
        <f>($F$7*$D7)/($C7-1)</f>
        <v>888.73470014573604</v>
      </c>
      <c r="Q7" s="22">
        <f>($I$9*$D7)/($C7)</f>
        <v>2.1692276777316026</v>
      </c>
      <c r="R7" s="21">
        <f>($F$9*$D7)/($C7)</f>
        <v>30.810766900500621</v>
      </c>
    </row>
    <row r="8" spans="2:18" ht="2.25" customHeight="1">
      <c r="B8" s="14"/>
      <c r="D8" s="18"/>
      <c r="E8" s="19"/>
      <c r="F8" s="19"/>
      <c r="G8" s="19"/>
      <c r="H8" s="20"/>
      <c r="I8" s="21"/>
      <c r="K8" s="22"/>
      <c r="L8" s="21"/>
      <c r="N8" s="22"/>
      <c r="O8" s="21"/>
      <c r="Q8" s="22"/>
      <c r="R8" s="21"/>
    </row>
    <row r="9" spans="2:18">
      <c r="B9" s="14" t="s">
        <v>37</v>
      </c>
      <c r="C9" s="9">
        <v>24</v>
      </c>
      <c r="D9" s="18">
        <v>5.1375062918852356E-3</v>
      </c>
      <c r="E9" s="19">
        <v>123500</v>
      </c>
      <c r="F9" s="19">
        <v>5145.833333333333</v>
      </c>
      <c r="G9" s="19">
        <v>4783.541666666667</v>
      </c>
      <c r="H9" s="20">
        <v>0.9375</v>
      </c>
      <c r="I9" s="21">
        <v>362.29166666666669</v>
      </c>
      <c r="J9" s="23"/>
      <c r="K9" s="22">
        <f>($I$5*$D9)/($C9)</f>
        <v>166.24552938154406</v>
      </c>
      <c r="L9" s="21">
        <f>($F$5*$D9)/($C9)</f>
        <v>512.83015931122748</v>
      </c>
      <c r="M9" s="23"/>
      <c r="N9" s="22">
        <f>($I$7*$D9)/($C9)</f>
        <v>6.2248904533355045</v>
      </c>
      <c r="O9" s="21">
        <f>($F$7*$D9)/($C9)</f>
        <v>30.810766900500624</v>
      </c>
      <c r="P9" s="23"/>
      <c r="Q9" s="22">
        <f>($I$9*$D9)/($C9-1)</f>
        <v>8.0925031173808198E-2</v>
      </c>
      <c r="R9" s="21">
        <f>($F$9*$D9)/($C9-1)</f>
        <v>1.1494239620431641</v>
      </c>
    </row>
    <row r="10" spans="2:18" ht="2.25" customHeight="1">
      <c r="B10" s="24"/>
      <c r="C10" s="25"/>
      <c r="D10" s="26"/>
      <c r="E10" s="26"/>
      <c r="F10" s="26"/>
      <c r="G10" s="26"/>
      <c r="H10" s="26"/>
      <c r="I10" s="27"/>
      <c r="K10" s="28"/>
      <c r="L10" s="27"/>
      <c r="N10" s="28"/>
      <c r="O10" s="27"/>
      <c r="Q10" s="28"/>
      <c r="R10" s="27"/>
    </row>
    <row r="11" spans="2:18" ht="12" customHeight="1">
      <c r="B11" s="24" t="s">
        <v>38</v>
      </c>
      <c r="C11" s="29">
        <f t="shared" ref="C11:D11" si="0">SUM(C5:C10)</f>
        <v>65</v>
      </c>
      <c r="D11" s="30">
        <f t="shared" si="0"/>
        <v>1</v>
      </c>
      <c r="E11" s="31">
        <f>SUM(E5:E10)</f>
        <v>24038900</v>
      </c>
      <c r="F11" s="31">
        <v>369829.23076923075</v>
      </c>
      <c r="G11" s="31">
        <v>259347.83735384615</v>
      </c>
      <c r="H11" s="30">
        <v>0.72461538461538466</v>
      </c>
      <c r="I11" s="32">
        <v>7181290.5719999997</v>
      </c>
    </row>
    <row r="12" spans="2:18">
      <c r="C12" s="33"/>
    </row>
    <row r="13" spans="2:18">
      <c r="B13" s="118" t="s">
        <v>39</v>
      </c>
      <c r="C13" s="106" t="s">
        <v>23</v>
      </c>
      <c r="D13" s="106" t="s">
        <v>24</v>
      </c>
      <c r="E13" s="106" t="s">
        <v>25</v>
      </c>
      <c r="F13" s="106" t="s">
        <v>26</v>
      </c>
      <c r="G13" s="106" t="s">
        <v>27</v>
      </c>
      <c r="H13" s="106" t="s">
        <v>28</v>
      </c>
      <c r="I13" s="108" t="s">
        <v>29</v>
      </c>
      <c r="J13" s="34"/>
      <c r="K13" s="110" t="s">
        <v>30</v>
      </c>
      <c r="L13" s="111"/>
      <c r="M13" s="10"/>
      <c r="N13" s="110" t="s">
        <v>31</v>
      </c>
      <c r="O13" s="111"/>
      <c r="P13" s="10"/>
      <c r="Q13" s="110" t="s">
        <v>32</v>
      </c>
      <c r="R13" s="111"/>
    </row>
    <row r="14" spans="2:18">
      <c r="B14" s="119"/>
      <c r="C14" s="107"/>
      <c r="D14" s="107"/>
      <c r="E14" s="107"/>
      <c r="F14" s="107"/>
      <c r="G14" s="107"/>
      <c r="H14" s="107"/>
      <c r="I14" s="109"/>
      <c r="J14" s="34"/>
      <c r="K14" s="35" t="s">
        <v>33</v>
      </c>
      <c r="L14" s="36" t="s">
        <v>34</v>
      </c>
      <c r="N14" s="35" t="s">
        <v>33</v>
      </c>
      <c r="O14" s="36" t="s">
        <v>34</v>
      </c>
      <c r="Q14" s="35" t="s">
        <v>33</v>
      </c>
      <c r="R14" s="36" t="s">
        <v>34</v>
      </c>
    </row>
    <row r="15" spans="2:18" ht="2.25" customHeight="1">
      <c r="B15" s="14"/>
      <c r="C15" s="37"/>
      <c r="D15" s="15"/>
      <c r="E15" s="15"/>
      <c r="F15" s="15"/>
      <c r="G15" s="15"/>
      <c r="H15" s="15"/>
      <c r="I15" s="16"/>
      <c r="J15" s="34"/>
      <c r="K15" s="17"/>
      <c r="L15" s="16"/>
      <c r="N15" s="17"/>
      <c r="O15" s="16"/>
      <c r="Q15" s="17"/>
      <c r="R15" s="16"/>
    </row>
    <row r="16" spans="2:18">
      <c r="B16" s="14" t="s">
        <v>35</v>
      </c>
      <c r="C16" s="9">
        <v>8</v>
      </c>
      <c r="D16" s="18">
        <f>D5</f>
        <v>0.79727441771462093</v>
      </c>
      <c r="E16" s="19">
        <v>19165600</v>
      </c>
      <c r="F16" s="19">
        <v>2395700</v>
      </c>
      <c r="G16" s="19">
        <v>683178.75</v>
      </c>
      <c r="H16" s="20">
        <v>0.28516873982552071</v>
      </c>
      <c r="I16" s="21">
        <v>1712521.25</v>
      </c>
      <c r="J16" s="34"/>
      <c r="K16" s="22">
        <f>($I$16*$D16)/($C16-1)</f>
        <v>195049.91177395213</v>
      </c>
      <c r="L16" s="21">
        <f>($F$16*$D16)/($C16-1)</f>
        <v>272861.47464555962</v>
      </c>
      <c r="N16" s="22">
        <f>($I$18*$D16)/($C16)</f>
        <v>9102.352167957064</v>
      </c>
      <c r="O16" s="21">
        <f>($F$18*$D16)/($C16)</f>
        <v>14344.295565382223</v>
      </c>
      <c r="Q16" s="22">
        <f>($I$20*$D16)/($C16)</f>
        <v>185.20020328162548</v>
      </c>
      <c r="R16" s="21">
        <f>($F$20*$D16)/($C16)</f>
        <v>512.83015931122748</v>
      </c>
    </row>
    <row r="17" spans="2:18" ht="2.25" customHeight="1">
      <c r="B17" s="14"/>
      <c r="D17" s="18"/>
      <c r="E17" s="19"/>
      <c r="F17" s="19"/>
      <c r="G17" s="19"/>
      <c r="H17" s="20"/>
      <c r="I17" s="21"/>
      <c r="J17" s="34"/>
      <c r="K17" s="22"/>
      <c r="L17" s="21"/>
      <c r="N17" s="22"/>
      <c r="O17" s="21"/>
      <c r="Q17" s="22"/>
      <c r="R17" s="21"/>
    </row>
    <row r="18" spans="2:18">
      <c r="B18" s="14" t="s">
        <v>36</v>
      </c>
      <c r="C18" s="9">
        <v>33</v>
      </c>
      <c r="D18" s="18">
        <f>D7</f>
        <v>0.19758807599349387</v>
      </c>
      <c r="E18" s="19">
        <v>4749800</v>
      </c>
      <c r="F18" s="19">
        <v>143933.33333333334</v>
      </c>
      <c r="G18" s="19">
        <v>52598.63636363636</v>
      </c>
      <c r="H18" s="20">
        <v>0.36543749210493071</v>
      </c>
      <c r="I18" s="21">
        <v>91334.696969696975</v>
      </c>
      <c r="K18" s="22">
        <f>($I$16*$D18)/($C18)</f>
        <v>10253.750875317366</v>
      </c>
      <c r="L18" s="21">
        <f>($F$16*$D18)/($C18)</f>
        <v>14344.295565382221</v>
      </c>
      <c r="N18" s="22">
        <f>($I$18*$D18)/($C18-1)</f>
        <v>563.95772017785066</v>
      </c>
      <c r="O18" s="21">
        <f>($F$18*$D18)/($C18-1)</f>
        <v>888.73470014573604</v>
      </c>
      <c r="Q18" s="22">
        <f>($I$20*$D18)/($C18)</f>
        <v>11.126803269330589</v>
      </c>
      <c r="R18" s="21">
        <f>($F$20*$D18)/($C18)</f>
        <v>30.810766900500621</v>
      </c>
    </row>
    <row r="19" spans="2:18" ht="2.25" customHeight="1">
      <c r="B19" s="14"/>
      <c r="D19" s="18"/>
      <c r="E19" s="19"/>
      <c r="F19" s="19"/>
      <c r="G19" s="19"/>
      <c r="H19" s="20"/>
      <c r="I19" s="21"/>
      <c r="K19" s="22"/>
      <c r="L19" s="21"/>
      <c r="N19" s="22"/>
      <c r="O19" s="21"/>
      <c r="Q19" s="22"/>
      <c r="R19" s="21"/>
    </row>
    <row r="20" spans="2:18">
      <c r="B20" s="14" t="s">
        <v>37</v>
      </c>
      <c r="C20" s="9">
        <v>24</v>
      </c>
      <c r="D20" s="18">
        <f>D9</f>
        <v>5.1375062918852356E-3</v>
      </c>
      <c r="E20" s="19">
        <v>123500</v>
      </c>
      <c r="F20" s="19">
        <v>5145.833333333333</v>
      </c>
      <c r="G20" s="19">
        <v>3287.5</v>
      </c>
      <c r="H20" s="20">
        <v>0.63886639676113366</v>
      </c>
      <c r="I20" s="21">
        <v>1858.3333333333333</v>
      </c>
      <c r="K20" s="22">
        <f>($I$16*$D20)/($C20)</f>
        <v>366.58702903592371</v>
      </c>
      <c r="L20" s="21">
        <f>($F$16*$D20)/($C20)</f>
        <v>512.83015931122748</v>
      </c>
      <c r="M20" s="23"/>
      <c r="N20" s="22">
        <f>($I$18*$D20)/($C20)</f>
        <v>19.551357514552066</v>
      </c>
      <c r="O20" s="21">
        <f>($F$18*$D20)/($C20)</f>
        <v>30.810766900500624</v>
      </c>
      <c r="P20" s="23"/>
      <c r="Q20" s="22">
        <f>($I$20*$D20)/($C20-1)</f>
        <v>0.41509561706174186</v>
      </c>
      <c r="R20" s="21">
        <f>($F$20*$D20)/($C20-1)</f>
        <v>1.1494239620431641</v>
      </c>
    </row>
    <row r="21" spans="2:18" ht="2.25" customHeight="1">
      <c r="B21" s="24"/>
      <c r="C21" s="25"/>
      <c r="D21" s="26"/>
      <c r="E21" s="26"/>
      <c r="F21" s="26"/>
      <c r="G21" s="26"/>
      <c r="H21" s="26"/>
      <c r="I21" s="27"/>
      <c r="K21" s="28"/>
      <c r="L21" s="27"/>
      <c r="N21" s="28"/>
      <c r="O21" s="27"/>
      <c r="Q21" s="28"/>
      <c r="R21" s="27"/>
    </row>
    <row r="22" spans="2:18">
      <c r="B22" s="24" t="s">
        <v>38</v>
      </c>
      <c r="C22" s="29">
        <f t="shared" ref="C22" si="1">SUM(C16:C21)</f>
        <v>65</v>
      </c>
      <c r="D22" s="30">
        <f>SUM(D16:D21)</f>
        <v>1</v>
      </c>
      <c r="E22" s="31">
        <f>SUM(E16:E21)</f>
        <v>24038900</v>
      </c>
      <c r="F22" s="31">
        <v>369829.23076923075</v>
      </c>
      <c r="G22" s="31">
        <v>112001.30769230769</v>
      </c>
      <c r="H22" s="30">
        <v>0.30284601208873951</v>
      </c>
      <c r="I22" s="32">
        <v>16758815</v>
      </c>
    </row>
  </sheetData>
  <mergeCells count="22">
    <mergeCell ref="G2:G3"/>
    <mergeCell ref="B2:B3"/>
    <mergeCell ref="C2:C3"/>
    <mergeCell ref="D2:D3"/>
    <mergeCell ref="E2:E3"/>
    <mergeCell ref="F2:F3"/>
    <mergeCell ref="B13:B14"/>
    <mergeCell ref="C13:C14"/>
    <mergeCell ref="D13:D14"/>
    <mergeCell ref="E13:E14"/>
    <mergeCell ref="F13:F14"/>
    <mergeCell ref="Q13:R13"/>
    <mergeCell ref="H2:H3"/>
    <mergeCell ref="I2:I3"/>
    <mergeCell ref="K2:L2"/>
    <mergeCell ref="N2:O2"/>
    <mergeCell ref="Q2:R2"/>
    <mergeCell ref="G13:G14"/>
    <mergeCell ref="H13:H14"/>
    <mergeCell ref="I13:I14"/>
    <mergeCell ref="K13:L13"/>
    <mergeCell ref="N13:O13"/>
  </mergeCells>
  <pageMargins left="0.35" right="0.39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C51"/>
  <sheetViews>
    <sheetView showGridLines="0" workbookViewId="0">
      <selection activeCell="F13" sqref="F13"/>
    </sheetView>
  </sheetViews>
  <sheetFormatPr defaultRowHeight="12.75"/>
  <cols>
    <col min="1" max="1" width="1.7109375" style="57" customWidth="1"/>
    <col min="2" max="2" width="12.7109375" style="57" customWidth="1"/>
    <col min="3" max="3" width="18.7109375" style="57" bestFit="1" customWidth="1"/>
    <col min="4" max="6" width="12.7109375" style="57" customWidth="1"/>
    <col min="7" max="7" width="3.7109375" style="57" customWidth="1"/>
    <col min="8" max="9" width="16.140625" style="57" customWidth="1"/>
    <col min="10" max="10" width="13.7109375" style="57" customWidth="1"/>
    <col min="11" max="11" width="3.7109375" style="57" customWidth="1"/>
    <col min="12" max="13" width="16.140625" style="57" customWidth="1"/>
    <col min="14" max="14" width="13.7109375" style="57" customWidth="1"/>
    <col min="15" max="26" width="9.140625" style="57"/>
    <col min="27" max="28" width="5" style="58" customWidth="1"/>
    <col min="29" max="29" width="5" style="57" customWidth="1"/>
    <col min="30" max="16384" width="9.140625" style="57"/>
  </cols>
  <sheetData>
    <row r="1" spans="2:29">
      <c r="AA1" s="78" t="s">
        <v>52</v>
      </c>
      <c r="AB1" s="79">
        <v>0</v>
      </c>
      <c r="AC1" s="79">
        <v>0.5</v>
      </c>
    </row>
    <row r="2" spans="2:29">
      <c r="B2" s="72" t="s">
        <v>147</v>
      </c>
      <c r="C2" s="73" t="s">
        <v>159</v>
      </c>
      <c r="D2" s="74" t="s">
        <v>153</v>
      </c>
      <c r="E2" s="74" t="s">
        <v>155</v>
      </c>
      <c r="F2" s="75" t="s">
        <v>154</v>
      </c>
      <c r="H2" s="122" t="s">
        <v>195</v>
      </c>
      <c r="I2" s="123"/>
      <c r="J2" s="124"/>
      <c r="L2" s="125" t="s">
        <v>196</v>
      </c>
      <c r="M2" s="126"/>
      <c r="N2" s="127"/>
      <c r="AA2" s="78" t="s">
        <v>64</v>
      </c>
      <c r="AB2" s="79">
        <v>0</v>
      </c>
      <c r="AC2" s="79">
        <v>0.5</v>
      </c>
    </row>
    <row r="3" spans="2:29">
      <c r="B3" s="61"/>
      <c r="C3" s="62"/>
      <c r="D3" s="62"/>
      <c r="E3" s="62"/>
      <c r="F3" s="63"/>
      <c r="H3" s="61"/>
      <c r="I3" s="62"/>
      <c r="J3" s="83"/>
      <c r="L3" s="61"/>
      <c r="M3" s="62"/>
      <c r="N3" s="83"/>
      <c r="AA3" s="78" t="s">
        <v>69</v>
      </c>
      <c r="AB3" s="79">
        <v>0</v>
      </c>
      <c r="AC3" s="79">
        <v>0.5</v>
      </c>
    </row>
    <row r="4" spans="2:29">
      <c r="B4" s="64" t="s">
        <v>148</v>
      </c>
      <c r="C4" s="62" t="s">
        <v>151</v>
      </c>
      <c r="D4" s="101">
        <v>200000</v>
      </c>
      <c r="E4" s="66">
        <v>0.40899999999999997</v>
      </c>
      <c r="F4" s="76">
        <f t="shared" ref="F4:F11" si="0">ROUND(D4*E4,2)</f>
        <v>81800</v>
      </c>
      <c r="H4" s="130" t="s">
        <v>194</v>
      </c>
      <c r="I4" s="131"/>
      <c r="J4" s="132" t="s">
        <v>84</v>
      </c>
      <c r="L4" s="130" t="s">
        <v>194</v>
      </c>
      <c r="M4" s="131"/>
      <c r="N4" s="133" t="str">
        <f>$J4</f>
        <v>A1</v>
      </c>
      <c r="AA4" s="78" t="s">
        <v>77</v>
      </c>
      <c r="AB4" s="79">
        <v>0</v>
      </c>
      <c r="AC4" s="79">
        <v>0.5</v>
      </c>
    </row>
    <row r="5" spans="2:29">
      <c r="B5" s="64" t="s">
        <v>149</v>
      </c>
      <c r="C5" s="62" t="s">
        <v>152</v>
      </c>
      <c r="D5" s="101">
        <v>150000</v>
      </c>
      <c r="E5" s="66">
        <v>0.309</v>
      </c>
      <c r="F5" s="76">
        <f t="shared" si="0"/>
        <v>46350</v>
      </c>
      <c r="H5" s="130"/>
      <c r="I5" s="131"/>
      <c r="J5" s="132"/>
      <c r="L5" s="130"/>
      <c r="M5" s="131"/>
      <c r="N5" s="133"/>
      <c r="AA5" s="78" t="s">
        <v>60</v>
      </c>
      <c r="AB5" s="79">
        <v>0</v>
      </c>
      <c r="AC5" s="79">
        <v>0.2</v>
      </c>
    </row>
    <row r="6" spans="2:29">
      <c r="B6" s="64" t="s">
        <v>150</v>
      </c>
      <c r="C6" s="62" t="s">
        <v>151</v>
      </c>
      <c r="D6" s="101">
        <v>0</v>
      </c>
      <c r="E6" s="66">
        <v>0.05</v>
      </c>
      <c r="F6" s="76">
        <f t="shared" si="0"/>
        <v>0</v>
      </c>
      <c r="H6" s="61"/>
      <c r="I6" s="62"/>
      <c r="J6" s="84"/>
      <c r="L6" s="61"/>
      <c r="M6" s="62"/>
      <c r="N6" s="83"/>
      <c r="AA6" s="78" t="s">
        <v>91</v>
      </c>
      <c r="AB6" s="79">
        <v>0</v>
      </c>
      <c r="AC6" s="79">
        <v>0.2</v>
      </c>
    </row>
    <row r="7" spans="2:29">
      <c r="B7" s="64"/>
      <c r="C7" s="62"/>
      <c r="D7" s="65"/>
      <c r="E7" s="66"/>
      <c r="F7" s="76"/>
      <c r="H7" s="59" t="s">
        <v>203</v>
      </c>
      <c r="I7" s="69"/>
      <c r="J7" s="91">
        <f>VLOOKUP($J4,$AA$1:$AB$51,2,0)</f>
        <v>1</v>
      </c>
      <c r="L7" s="59" t="s">
        <v>208</v>
      </c>
      <c r="M7" s="69"/>
      <c r="N7" s="94">
        <f>VLOOKUP($N4,$AA$1:$AC$51,3,0)</f>
        <v>7.4999999999999997E-2</v>
      </c>
      <c r="AA7" s="78" t="s">
        <v>100</v>
      </c>
      <c r="AB7" s="79">
        <v>0</v>
      </c>
      <c r="AC7" s="79">
        <v>0.2</v>
      </c>
    </row>
    <row r="8" spans="2:29">
      <c r="B8" s="64" t="s">
        <v>148</v>
      </c>
      <c r="C8" s="62" t="s">
        <v>156</v>
      </c>
      <c r="D8" s="101">
        <v>30000</v>
      </c>
      <c r="E8" s="66">
        <v>0.38600000000000001</v>
      </c>
      <c r="F8" s="76">
        <f t="shared" si="0"/>
        <v>11580</v>
      </c>
      <c r="H8" s="61"/>
      <c r="I8" s="62"/>
      <c r="J8" s="83"/>
      <c r="L8" s="85"/>
      <c r="M8" s="62"/>
      <c r="N8" s="83"/>
      <c r="AA8" s="78" t="s">
        <v>110</v>
      </c>
      <c r="AB8" s="79">
        <v>0.5</v>
      </c>
      <c r="AC8" s="79">
        <v>0.1</v>
      </c>
    </row>
    <row r="9" spans="2:29">
      <c r="B9" s="64" t="s">
        <v>149</v>
      </c>
      <c r="C9" s="62" t="s">
        <v>156</v>
      </c>
      <c r="D9" s="101">
        <v>20000</v>
      </c>
      <c r="E9" s="66">
        <v>0.29199999999999998</v>
      </c>
      <c r="F9" s="76">
        <f t="shared" si="0"/>
        <v>5840</v>
      </c>
      <c r="H9" s="64" t="s">
        <v>200</v>
      </c>
      <c r="I9" s="62"/>
      <c r="J9" s="86">
        <f>$F$15</f>
        <v>180084</v>
      </c>
      <c r="L9" s="97" t="s">
        <v>215</v>
      </c>
      <c r="M9" s="62"/>
      <c r="N9" s="102">
        <v>1500000</v>
      </c>
      <c r="AA9" s="78" t="s">
        <v>115</v>
      </c>
      <c r="AB9" s="79">
        <v>0.5</v>
      </c>
      <c r="AC9" s="80">
        <v>9.5000000000000001E-2</v>
      </c>
    </row>
    <row r="10" spans="2:29">
      <c r="B10" s="61"/>
      <c r="C10" s="62"/>
      <c r="D10" s="62"/>
      <c r="E10" s="62"/>
      <c r="F10" s="77"/>
      <c r="H10" s="61"/>
      <c r="I10" s="62"/>
      <c r="J10" s="83"/>
      <c r="L10" s="61"/>
      <c r="M10" s="62"/>
      <c r="N10" s="83"/>
      <c r="AA10" s="78" t="s">
        <v>128</v>
      </c>
      <c r="AB10" s="79">
        <v>0.5</v>
      </c>
      <c r="AC10" s="80">
        <v>0.09</v>
      </c>
    </row>
    <row r="11" spans="2:29">
      <c r="B11" s="61"/>
      <c r="C11" s="62" t="s">
        <v>157</v>
      </c>
      <c r="D11" s="101">
        <v>10000</v>
      </c>
      <c r="E11" s="67">
        <v>0.45</v>
      </c>
      <c r="F11" s="76">
        <f t="shared" si="0"/>
        <v>4500</v>
      </c>
      <c r="H11" s="128" t="s">
        <v>198</v>
      </c>
      <c r="I11" s="129"/>
      <c r="J11" s="90">
        <f>ROUND(J$9*1.4,2)</f>
        <v>252117.6</v>
      </c>
      <c r="L11" s="59" t="s">
        <v>216</v>
      </c>
      <c r="M11" s="60"/>
      <c r="N11" s="95">
        <f>ROUND(N9*N7,0)</f>
        <v>112500</v>
      </c>
      <c r="AA11" s="78" t="s">
        <v>136</v>
      </c>
      <c r="AB11" s="79">
        <v>1</v>
      </c>
      <c r="AC11" s="80">
        <v>8.5000000000000006E-2</v>
      </c>
    </row>
    <row r="12" spans="2:29">
      <c r="B12" s="61"/>
      <c r="C12" s="62"/>
      <c r="D12" s="62"/>
      <c r="E12" s="62"/>
      <c r="F12" s="77"/>
      <c r="H12" s="61"/>
      <c r="I12" s="62"/>
      <c r="J12" s="83"/>
      <c r="L12" s="61"/>
      <c r="M12" s="62"/>
      <c r="N12" s="83"/>
      <c r="AA12" s="78" t="s">
        <v>141</v>
      </c>
      <c r="AB12" s="79">
        <v>1</v>
      </c>
      <c r="AC12" s="80">
        <v>0.08</v>
      </c>
    </row>
    <row r="13" spans="2:29">
      <c r="B13" s="59" t="s">
        <v>154</v>
      </c>
      <c r="C13" s="60"/>
      <c r="D13" s="60"/>
      <c r="E13" s="60"/>
      <c r="F13" s="68">
        <f>SUM(F4:F12)</f>
        <v>150070</v>
      </c>
      <c r="H13" s="87" t="s">
        <v>199</v>
      </c>
      <c r="I13" s="88"/>
      <c r="J13" s="89">
        <f>ROUND(J$11*J$7,0)</f>
        <v>252118</v>
      </c>
      <c r="L13" s="64" t="s">
        <v>200</v>
      </c>
      <c r="M13" s="62"/>
      <c r="N13" s="86">
        <f>$F$15</f>
        <v>180084</v>
      </c>
      <c r="AA13" s="78" t="s">
        <v>145</v>
      </c>
      <c r="AB13" s="79">
        <v>1</v>
      </c>
      <c r="AC13" s="80">
        <v>7.4999999999999997E-2</v>
      </c>
    </row>
    <row r="14" spans="2:29">
      <c r="B14" s="64" t="s">
        <v>158</v>
      </c>
      <c r="C14" s="65"/>
      <c r="D14" s="65"/>
      <c r="E14" s="67"/>
      <c r="F14" s="76">
        <f>F13*20%</f>
        <v>30014</v>
      </c>
      <c r="H14" s="100" t="s">
        <v>204</v>
      </c>
      <c r="L14" s="61"/>
      <c r="M14" s="62"/>
      <c r="N14" s="83"/>
      <c r="AA14" s="78" t="s">
        <v>59</v>
      </c>
      <c r="AB14" s="79">
        <v>0.5</v>
      </c>
      <c r="AC14" s="80">
        <v>0.1</v>
      </c>
    </row>
    <row r="15" spans="2:29">
      <c r="B15" s="81" t="s">
        <v>197</v>
      </c>
      <c r="C15" s="82"/>
      <c r="D15" s="70"/>
      <c r="E15" s="70"/>
      <c r="F15" s="71">
        <f>SUM(F13:F14)</f>
        <v>180084</v>
      </c>
      <c r="L15" s="128" t="s">
        <v>198</v>
      </c>
      <c r="M15" s="129"/>
      <c r="N15" s="90">
        <f>ROUND(N$13*1.4,2)</f>
        <v>252117.6</v>
      </c>
      <c r="AA15" s="78" t="s">
        <v>160</v>
      </c>
      <c r="AB15" s="79">
        <v>0.6</v>
      </c>
      <c r="AC15" s="80">
        <v>9.5000000000000001E-2</v>
      </c>
    </row>
    <row r="16" spans="2:29">
      <c r="L16" s="61"/>
      <c r="M16" s="62"/>
      <c r="N16" s="83"/>
      <c r="AA16" s="78" t="s">
        <v>161</v>
      </c>
      <c r="AB16" s="79">
        <v>0.6</v>
      </c>
      <c r="AC16" s="80">
        <v>9.5000000000000001E-2</v>
      </c>
    </row>
    <row r="17" spans="4:29">
      <c r="L17" s="98" t="s">
        <v>199</v>
      </c>
      <c r="M17" s="96"/>
      <c r="N17" s="99">
        <f>ROUND(N$15-N$11,0)</f>
        <v>139618</v>
      </c>
      <c r="AA17" s="78" t="s">
        <v>162</v>
      </c>
      <c r="AB17" s="79">
        <v>0.7</v>
      </c>
      <c r="AC17" s="80">
        <v>0.09</v>
      </c>
    </row>
    <row r="18" spans="4:29">
      <c r="L18" s="100" t="s">
        <v>217</v>
      </c>
      <c r="AA18" s="78" t="s">
        <v>163</v>
      </c>
      <c r="AB18" s="79">
        <v>0.7</v>
      </c>
      <c r="AC18" s="80">
        <v>0.09</v>
      </c>
    </row>
    <row r="19" spans="4:29">
      <c r="L19" s="92"/>
      <c r="N19" s="93"/>
      <c r="AA19" s="78" t="s">
        <v>164</v>
      </c>
      <c r="AB19" s="79">
        <v>0.7</v>
      </c>
      <c r="AC19" s="80">
        <v>0.09</v>
      </c>
    </row>
    <row r="20" spans="4:29" ht="13.5" thickBot="1">
      <c r="AA20" s="78" t="s">
        <v>165</v>
      </c>
      <c r="AB20" s="79">
        <v>0.8</v>
      </c>
      <c r="AC20" s="80">
        <v>8.5000000000000006E-2</v>
      </c>
    </row>
    <row r="21" spans="4:29" ht="14.25" thickTop="1" thickBot="1">
      <c r="D21" s="57">
        <v>2</v>
      </c>
      <c r="L21" s="103" t="s">
        <v>213</v>
      </c>
      <c r="M21" s="104"/>
      <c r="N21" s="105">
        <f>J13-N17</f>
        <v>112500</v>
      </c>
      <c r="AA21" s="78" t="s">
        <v>166</v>
      </c>
      <c r="AB21" s="79">
        <v>0.8</v>
      </c>
      <c r="AC21" s="80">
        <v>8.5000000000000006E-2</v>
      </c>
    </row>
    <row r="22" spans="4:29" ht="13.5" thickTop="1">
      <c r="AA22" s="78" t="s">
        <v>167</v>
      </c>
      <c r="AB22" s="79">
        <v>0.8</v>
      </c>
      <c r="AC22" s="80">
        <v>8.5000000000000006E-2</v>
      </c>
    </row>
    <row r="23" spans="4:29">
      <c r="AA23" s="78" t="s">
        <v>168</v>
      </c>
      <c r="AB23" s="79">
        <v>0.9</v>
      </c>
      <c r="AC23" s="80">
        <v>0.08</v>
      </c>
    </row>
    <row r="24" spans="4:29">
      <c r="AA24" s="78" t="s">
        <v>169</v>
      </c>
      <c r="AB24" s="79">
        <v>0.9</v>
      </c>
      <c r="AC24" s="80">
        <v>0.08</v>
      </c>
    </row>
    <row r="25" spans="4:29">
      <c r="AA25" s="78" t="s">
        <v>170</v>
      </c>
      <c r="AB25" s="79">
        <v>0.9</v>
      </c>
      <c r="AC25" s="80">
        <v>0.08</v>
      </c>
    </row>
    <row r="26" spans="4:29">
      <c r="AA26" s="78" t="s">
        <v>171</v>
      </c>
      <c r="AB26" s="79">
        <v>1</v>
      </c>
      <c r="AC26" s="80">
        <v>7.4999999999999997E-2</v>
      </c>
    </row>
    <row r="27" spans="4:29">
      <c r="AA27" s="78" t="s">
        <v>172</v>
      </c>
      <c r="AB27" s="79">
        <v>1</v>
      </c>
      <c r="AC27" s="80">
        <v>7.4999999999999997E-2</v>
      </c>
    </row>
    <row r="28" spans="4:29">
      <c r="AA28" s="78" t="s">
        <v>84</v>
      </c>
      <c r="AB28" s="79">
        <v>1</v>
      </c>
      <c r="AC28" s="80">
        <v>7.4999999999999997E-2</v>
      </c>
    </row>
    <row r="29" spans="4:29">
      <c r="AA29" s="78" t="s">
        <v>173</v>
      </c>
      <c r="AB29" s="79">
        <v>1</v>
      </c>
      <c r="AC29" s="80">
        <v>6.5000000000000002E-2</v>
      </c>
    </row>
    <row r="30" spans="4:29">
      <c r="AA30" s="78" t="s">
        <v>174</v>
      </c>
      <c r="AB30" s="79">
        <v>1</v>
      </c>
      <c r="AC30" s="80">
        <v>6.5000000000000002E-2</v>
      </c>
    </row>
    <row r="31" spans="4:29">
      <c r="AA31" s="78" t="s">
        <v>92</v>
      </c>
      <c r="AB31" s="79">
        <v>1</v>
      </c>
      <c r="AC31" s="80">
        <v>6.5000000000000002E-2</v>
      </c>
    </row>
    <row r="32" spans="4:29">
      <c r="AA32" s="78" t="s">
        <v>175</v>
      </c>
      <c r="AB32" s="79">
        <v>1</v>
      </c>
      <c r="AC32" s="80">
        <v>6.5000000000000002E-2</v>
      </c>
    </row>
    <row r="33" spans="27:29">
      <c r="AA33" s="78" t="s">
        <v>176</v>
      </c>
      <c r="AB33" s="79">
        <v>1</v>
      </c>
      <c r="AC33" s="80">
        <v>0.05</v>
      </c>
    </row>
    <row r="34" spans="27:29">
      <c r="AA34" s="78" t="s">
        <v>98</v>
      </c>
      <c r="AB34" s="79">
        <v>1</v>
      </c>
      <c r="AC34" s="80">
        <v>0.05</v>
      </c>
    </row>
    <row r="35" spans="27:29">
      <c r="AA35" s="78" t="s">
        <v>177</v>
      </c>
      <c r="AB35" s="79">
        <v>1</v>
      </c>
      <c r="AC35" s="80">
        <v>0.05</v>
      </c>
    </row>
    <row r="36" spans="27:29">
      <c r="AA36" s="78" t="s">
        <v>178</v>
      </c>
      <c r="AB36" s="79">
        <v>1</v>
      </c>
      <c r="AC36" s="80">
        <v>0.05</v>
      </c>
    </row>
    <row r="37" spans="27:29">
      <c r="AA37" s="78" t="s">
        <v>179</v>
      </c>
      <c r="AB37" s="79">
        <v>1</v>
      </c>
      <c r="AC37" s="80">
        <v>3.5000000000000003E-2</v>
      </c>
    </row>
    <row r="38" spans="27:29">
      <c r="AA38" s="78" t="s">
        <v>180</v>
      </c>
      <c r="AB38" s="79">
        <v>1</v>
      </c>
      <c r="AC38" s="80">
        <v>3.5000000000000003E-2</v>
      </c>
    </row>
    <row r="39" spans="27:29">
      <c r="AA39" s="78" t="s">
        <v>181</v>
      </c>
      <c r="AB39" s="79">
        <v>1</v>
      </c>
      <c r="AC39" s="80">
        <v>3.5000000000000003E-2</v>
      </c>
    </row>
    <row r="40" spans="27:29">
      <c r="AA40" s="78" t="s">
        <v>182</v>
      </c>
      <c r="AB40" s="79">
        <v>1</v>
      </c>
      <c r="AC40" s="80">
        <v>1.4999999999999999E-2</v>
      </c>
    </row>
    <row r="41" spans="27:29">
      <c r="AA41" s="78" t="s">
        <v>183</v>
      </c>
      <c r="AB41" s="79">
        <v>1</v>
      </c>
      <c r="AC41" s="80">
        <v>1.4999999999999999E-2</v>
      </c>
    </row>
    <row r="42" spans="27:29">
      <c r="AA42" s="78" t="s">
        <v>184</v>
      </c>
      <c r="AB42" s="79">
        <v>1</v>
      </c>
      <c r="AC42" s="80">
        <v>1.4999999999999999E-2</v>
      </c>
    </row>
    <row r="43" spans="27:29">
      <c r="AA43" s="78" t="s">
        <v>185</v>
      </c>
      <c r="AB43" s="79">
        <v>1</v>
      </c>
      <c r="AC43" s="79">
        <v>0</v>
      </c>
    </row>
    <row r="44" spans="27:29">
      <c r="AA44" s="78" t="s">
        <v>186</v>
      </c>
      <c r="AB44" s="79">
        <v>1</v>
      </c>
      <c r="AC44" s="79">
        <v>0</v>
      </c>
    </row>
    <row r="45" spans="27:29">
      <c r="AA45" s="78" t="s">
        <v>187</v>
      </c>
      <c r="AB45" s="79">
        <v>1</v>
      </c>
      <c r="AC45" s="79">
        <v>0</v>
      </c>
    </row>
    <row r="46" spans="27:29">
      <c r="AA46" s="78" t="s">
        <v>188</v>
      </c>
      <c r="AB46" s="79">
        <v>1</v>
      </c>
      <c r="AC46" s="79">
        <v>0</v>
      </c>
    </row>
    <row r="47" spans="27:29">
      <c r="AA47" s="78" t="s">
        <v>189</v>
      </c>
      <c r="AB47" s="79">
        <v>1</v>
      </c>
      <c r="AC47" s="79">
        <v>0</v>
      </c>
    </row>
    <row r="48" spans="27:29">
      <c r="AA48" s="78" t="s">
        <v>190</v>
      </c>
      <c r="AB48" s="79">
        <v>1</v>
      </c>
      <c r="AC48" s="79">
        <v>0</v>
      </c>
    </row>
    <row r="49" spans="27:29">
      <c r="AA49" s="78" t="s">
        <v>191</v>
      </c>
      <c r="AB49" s="79">
        <v>1</v>
      </c>
      <c r="AC49" s="79">
        <v>0</v>
      </c>
    </row>
    <row r="50" spans="27:29">
      <c r="AA50" s="78" t="s">
        <v>192</v>
      </c>
      <c r="AB50" s="79">
        <v>1</v>
      </c>
      <c r="AC50" s="79">
        <v>0</v>
      </c>
    </row>
    <row r="51" spans="27:29">
      <c r="AA51" s="78" t="s">
        <v>193</v>
      </c>
      <c r="AB51" s="79">
        <v>1</v>
      </c>
      <c r="AC51" s="79">
        <v>0</v>
      </c>
    </row>
  </sheetData>
  <mergeCells count="8">
    <mergeCell ref="H2:J2"/>
    <mergeCell ref="L2:N2"/>
    <mergeCell ref="L15:M15"/>
    <mergeCell ref="H4:I5"/>
    <mergeCell ref="J4:J5"/>
    <mergeCell ref="L4:M5"/>
    <mergeCell ref="N4:N5"/>
    <mergeCell ref="H11:I11"/>
  </mergeCells>
  <dataValidations count="1">
    <dataValidation type="list" allowBlank="1" showInputMessage="1" showErrorMessage="1" sqref="J4:J5 N4:N5">
      <formula1>$AA$1:$AA$51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8"/>
  <sheetViews>
    <sheetView showGridLines="0" zoomScale="90" zoomScaleNormal="90" workbookViewId="0">
      <selection activeCell="K7" sqref="K7"/>
    </sheetView>
  </sheetViews>
  <sheetFormatPr defaultRowHeight="12"/>
  <cols>
    <col min="1" max="1" width="1.7109375" style="11" customWidth="1"/>
    <col min="2" max="7" width="9.140625" style="11" customWidth="1"/>
    <col min="8" max="9" width="9.140625" style="11"/>
    <col min="10" max="10" width="9.5703125" style="9" customWidth="1"/>
    <col min="11" max="11" width="17.5703125" style="9" customWidth="1"/>
    <col min="12" max="12" width="1.7109375" style="11" customWidth="1"/>
    <col min="13" max="13" width="10.7109375" style="11" customWidth="1"/>
    <col min="14" max="14" width="14.7109375" style="11" customWidth="1"/>
    <col min="15" max="15" width="7.7109375" style="11" customWidth="1"/>
    <col min="16" max="17" width="14.7109375" style="11" customWidth="1"/>
    <col min="18" max="18" width="9.140625" style="11"/>
    <col min="19" max="19" width="18" style="9" customWidth="1"/>
    <col min="20" max="16384" width="9.140625" style="11"/>
  </cols>
  <sheetData>
    <row r="1" spans="2:19" ht="24" customHeight="1">
      <c r="B1" s="140" t="s">
        <v>40</v>
      </c>
      <c r="C1" s="141"/>
      <c r="D1" s="141" t="s">
        <v>41</v>
      </c>
      <c r="E1" s="141"/>
      <c r="F1" s="141" t="s">
        <v>42</v>
      </c>
      <c r="G1" s="141"/>
      <c r="H1" s="141" t="s">
        <v>43</v>
      </c>
      <c r="I1" s="141"/>
      <c r="J1" s="144" t="s">
        <v>44</v>
      </c>
      <c r="K1" s="137" t="s">
        <v>206</v>
      </c>
      <c r="M1" s="134" t="s">
        <v>45</v>
      </c>
      <c r="N1" s="134" t="s">
        <v>46</v>
      </c>
      <c r="O1" s="134" t="s">
        <v>47</v>
      </c>
      <c r="P1" s="134" t="s">
        <v>48</v>
      </c>
      <c r="Q1" s="134" t="s">
        <v>49</v>
      </c>
      <c r="R1" s="134" t="s">
        <v>44</v>
      </c>
      <c r="S1" s="134" t="s">
        <v>207</v>
      </c>
    </row>
    <row r="2" spans="2:19" ht="12" customHeight="1">
      <c r="B2" s="142"/>
      <c r="C2" s="143"/>
      <c r="D2" s="143"/>
      <c r="E2" s="143"/>
      <c r="F2" s="143"/>
      <c r="G2" s="143"/>
      <c r="H2" s="143"/>
      <c r="I2" s="143"/>
      <c r="J2" s="145"/>
      <c r="K2" s="138"/>
      <c r="M2" s="135"/>
      <c r="N2" s="135"/>
      <c r="O2" s="135"/>
      <c r="P2" s="135"/>
      <c r="Q2" s="135"/>
      <c r="R2" s="135"/>
      <c r="S2" s="135"/>
    </row>
    <row r="3" spans="2:19">
      <c r="B3" s="38" t="s">
        <v>50</v>
      </c>
      <c r="C3" s="39" t="s">
        <v>51</v>
      </c>
      <c r="D3" s="39" t="s">
        <v>50</v>
      </c>
      <c r="E3" s="39" t="s">
        <v>51</v>
      </c>
      <c r="F3" s="39" t="s">
        <v>50</v>
      </c>
      <c r="G3" s="39" t="s">
        <v>51</v>
      </c>
      <c r="H3" s="39" t="s">
        <v>50</v>
      </c>
      <c r="I3" s="39" t="s">
        <v>51</v>
      </c>
      <c r="J3" s="146"/>
      <c r="K3" s="139"/>
      <c r="M3" s="136"/>
      <c r="N3" s="136"/>
      <c r="O3" s="136"/>
      <c r="P3" s="136"/>
      <c r="Q3" s="136"/>
      <c r="R3" s="136"/>
      <c r="S3" s="136"/>
    </row>
    <row r="4" spans="2:19">
      <c r="B4" s="40" t="s">
        <v>52</v>
      </c>
      <c r="C4" s="41" t="s">
        <v>53</v>
      </c>
      <c r="D4" s="40" t="s">
        <v>54</v>
      </c>
      <c r="E4" s="41" t="s">
        <v>55</v>
      </c>
      <c r="F4" s="40" t="s">
        <v>52</v>
      </c>
      <c r="G4" s="41" t="s">
        <v>56</v>
      </c>
      <c r="H4" s="40" t="s">
        <v>52</v>
      </c>
      <c r="I4" s="41" t="s">
        <v>57</v>
      </c>
      <c r="J4" s="42">
        <v>0</v>
      </c>
      <c r="K4" s="42">
        <v>50</v>
      </c>
      <c r="M4" s="43" t="s">
        <v>58</v>
      </c>
      <c r="N4" s="43" t="s">
        <v>59</v>
      </c>
      <c r="O4" s="43" t="s">
        <v>60</v>
      </c>
      <c r="P4" s="43" t="s">
        <v>58</v>
      </c>
      <c r="Q4" s="43" t="s">
        <v>61</v>
      </c>
      <c r="R4" s="44">
        <v>50</v>
      </c>
      <c r="S4" s="45">
        <v>10</v>
      </c>
    </row>
    <row r="5" spans="2:19">
      <c r="B5" s="40" t="s">
        <v>62</v>
      </c>
      <c r="C5" s="41" t="s">
        <v>53</v>
      </c>
      <c r="D5" s="40" t="s">
        <v>63</v>
      </c>
      <c r="E5" s="41" t="s">
        <v>55</v>
      </c>
      <c r="F5" s="40" t="s">
        <v>64</v>
      </c>
      <c r="G5" s="41" t="s">
        <v>56</v>
      </c>
      <c r="H5" s="40" t="s">
        <v>64</v>
      </c>
      <c r="I5" s="41" t="s">
        <v>57</v>
      </c>
      <c r="J5" s="42">
        <v>0</v>
      </c>
      <c r="K5" s="42">
        <v>50</v>
      </c>
      <c r="M5" s="46" t="s">
        <v>65</v>
      </c>
      <c r="N5" s="46" t="s">
        <v>66</v>
      </c>
      <c r="O5" s="46" t="s">
        <v>67</v>
      </c>
      <c r="P5" s="46" t="s">
        <v>65</v>
      </c>
      <c r="Q5" s="46" t="s">
        <v>68</v>
      </c>
      <c r="R5" s="47">
        <v>60</v>
      </c>
      <c r="S5" s="48">
        <v>9.5</v>
      </c>
    </row>
    <row r="6" spans="2:19">
      <c r="B6" s="40" t="s">
        <v>69</v>
      </c>
      <c r="C6" s="41" t="s">
        <v>70</v>
      </c>
      <c r="D6" s="40" t="s">
        <v>71</v>
      </c>
      <c r="E6" s="41" t="s">
        <v>55</v>
      </c>
      <c r="F6" s="40" t="s">
        <v>69</v>
      </c>
      <c r="G6" s="41" t="s">
        <v>56</v>
      </c>
      <c r="H6" s="40" t="s">
        <v>69</v>
      </c>
      <c r="I6" s="41" t="s">
        <v>57</v>
      </c>
      <c r="J6" s="42">
        <v>0</v>
      </c>
      <c r="K6" s="42">
        <v>50</v>
      </c>
      <c r="M6" s="46" t="s">
        <v>72</v>
      </c>
      <c r="N6" s="46" t="s">
        <v>73</v>
      </c>
      <c r="O6" s="46" t="s">
        <v>74</v>
      </c>
      <c r="P6" s="46" t="s">
        <v>72</v>
      </c>
      <c r="Q6" s="46" t="s">
        <v>75</v>
      </c>
      <c r="R6" s="47">
        <v>70</v>
      </c>
      <c r="S6" s="48">
        <v>9</v>
      </c>
    </row>
    <row r="7" spans="2:19">
      <c r="B7" s="40" t="s">
        <v>76</v>
      </c>
      <c r="C7" s="41" t="s">
        <v>70</v>
      </c>
      <c r="D7" s="40" t="s">
        <v>71</v>
      </c>
      <c r="E7" s="41" t="s">
        <v>55</v>
      </c>
      <c r="F7" s="40" t="s">
        <v>77</v>
      </c>
      <c r="G7" s="41" t="s">
        <v>56</v>
      </c>
      <c r="H7" s="40" t="s">
        <v>77</v>
      </c>
      <c r="I7" s="41" t="s">
        <v>57</v>
      </c>
      <c r="J7" s="42">
        <v>0</v>
      </c>
      <c r="K7" s="42">
        <v>50</v>
      </c>
      <c r="M7" s="46" t="s">
        <v>78</v>
      </c>
      <c r="N7" s="46" t="s">
        <v>79</v>
      </c>
      <c r="O7" s="46" t="s">
        <v>80</v>
      </c>
      <c r="P7" s="46" t="s">
        <v>78</v>
      </c>
      <c r="Q7" s="46" t="s">
        <v>81</v>
      </c>
      <c r="R7" s="47">
        <v>80</v>
      </c>
      <c r="S7" s="48">
        <v>8.5</v>
      </c>
    </row>
    <row r="8" spans="2:19">
      <c r="B8" s="40" t="s">
        <v>82</v>
      </c>
      <c r="C8" s="41" t="s">
        <v>83</v>
      </c>
      <c r="D8" s="40" t="s">
        <v>84</v>
      </c>
      <c r="E8" s="41" t="s">
        <v>55</v>
      </c>
      <c r="F8" s="40" t="s">
        <v>60</v>
      </c>
      <c r="G8" s="41" t="s">
        <v>85</v>
      </c>
      <c r="H8" s="40" t="s">
        <v>60</v>
      </c>
      <c r="I8" s="41" t="s">
        <v>86</v>
      </c>
      <c r="J8" s="42">
        <v>0</v>
      </c>
      <c r="K8" s="42">
        <v>20</v>
      </c>
      <c r="M8" s="46" t="s">
        <v>87</v>
      </c>
      <c r="N8" s="46" t="s">
        <v>88</v>
      </c>
      <c r="O8" s="46" t="s">
        <v>89</v>
      </c>
      <c r="P8" s="46" t="s">
        <v>87</v>
      </c>
      <c r="Q8" s="46" t="s">
        <v>90</v>
      </c>
      <c r="R8" s="47">
        <v>90</v>
      </c>
      <c r="S8" s="48">
        <v>8</v>
      </c>
    </row>
    <row r="9" spans="2:19">
      <c r="B9" s="40" t="s">
        <v>91</v>
      </c>
      <c r="C9" s="41" t="s">
        <v>83</v>
      </c>
      <c r="D9" s="40" t="s">
        <v>92</v>
      </c>
      <c r="E9" s="41" t="s">
        <v>55</v>
      </c>
      <c r="F9" s="40" t="s">
        <v>91</v>
      </c>
      <c r="G9" s="41" t="s">
        <v>85</v>
      </c>
      <c r="H9" s="40" t="s">
        <v>91</v>
      </c>
      <c r="I9" s="41" t="s">
        <v>86</v>
      </c>
      <c r="J9" s="42">
        <v>0</v>
      </c>
      <c r="K9" s="42">
        <v>20</v>
      </c>
      <c r="M9" s="46" t="s">
        <v>93</v>
      </c>
      <c r="N9" s="46" t="s">
        <v>94</v>
      </c>
      <c r="O9" s="46" t="s">
        <v>95</v>
      </c>
      <c r="P9" s="46" t="s">
        <v>93</v>
      </c>
      <c r="Q9" s="46" t="s">
        <v>96</v>
      </c>
      <c r="R9" s="47">
        <v>100</v>
      </c>
      <c r="S9" s="48">
        <v>7.5</v>
      </c>
    </row>
    <row r="10" spans="2:19">
      <c r="B10" s="40" t="s">
        <v>97</v>
      </c>
      <c r="C10" s="41" t="s">
        <v>83</v>
      </c>
      <c r="D10" s="40" t="s">
        <v>98</v>
      </c>
      <c r="E10" s="41" t="s">
        <v>99</v>
      </c>
      <c r="F10" s="40" t="s">
        <v>100</v>
      </c>
      <c r="G10" s="41" t="s">
        <v>101</v>
      </c>
      <c r="H10" s="40" t="s">
        <v>100</v>
      </c>
      <c r="I10" s="41" t="s">
        <v>102</v>
      </c>
      <c r="J10" s="42">
        <v>0</v>
      </c>
      <c r="K10" s="42">
        <v>20</v>
      </c>
      <c r="M10" s="46" t="s">
        <v>103</v>
      </c>
      <c r="N10" s="46" t="s">
        <v>104</v>
      </c>
      <c r="O10" s="46" t="s">
        <v>105</v>
      </c>
      <c r="P10" s="46" t="s">
        <v>103</v>
      </c>
      <c r="Q10" s="46" t="s">
        <v>106</v>
      </c>
      <c r="R10" s="47">
        <v>100</v>
      </c>
      <c r="S10" s="48">
        <v>6.5</v>
      </c>
    </row>
    <row r="11" spans="2:19">
      <c r="B11" s="40" t="s">
        <v>107</v>
      </c>
      <c r="C11" s="41" t="s">
        <v>108</v>
      </c>
      <c r="D11" s="40" t="s">
        <v>109</v>
      </c>
      <c r="E11" s="41" t="s">
        <v>99</v>
      </c>
      <c r="F11" s="40" t="s">
        <v>110</v>
      </c>
      <c r="G11" s="41" t="s">
        <v>101</v>
      </c>
      <c r="H11" s="40" t="s">
        <v>110</v>
      </c>
      <c r="I11" s="41" t="s">
        <v>102</v>
      </c>
      <c r="J11" s="42">
        <v>50</v>
      </c>
      <c r="K11" s="42">
        <v>10</v>
      </c>
      <c r="M11" s="46" t="s">
        <v>111</v>
      </c>
      <c r="N11" s="46" t="s">
        <v>112</v>
      </c>
      <c r="O11" s="46" t="s">
        <v>113</v>
      </c>
      <c r="P11" s="46" t="s">
        <v>111</v>
      </c>
      <c r="Q11" s="46" t="s">
        <v>114</v>
      </c>
      <c r="R11" s="47">
        <v>100</v>
      </c>
      <c r="S11" s="48">
        <v>5</v>
      </c>
    </row>
    <row r="12" spans="2:19">
      <c r="B12" s="40" t="s">
        <v>115</v>
      </c>
      <c r="C12" s="41" t="s">
        <v>116</v>
      </c>
      <c r="D12" s="40" t="s">
        <v>117</v>
      </c>
      <c r="E12" s="41" t="s">
        <v>118</v>
      </c>
      <c r="F12" s="40" t="s">
        <v>115</v>
      </c>
      <c r="G12" s="41" t="s">
        <v>119</v>
      </c>
      <c r="H12" s="40" t="s">
        <v>115</v>
      </c>
      <c r="I12" s="41" t="s">
        <v>120</v>
      </c>
      <c r="J12" s="42">
        <v>50</v>
      </c>
      <c r="K12" s="42">
        <v>9.5</v>
      </c>
      <c r="M12" s="46" t="s">
        <v>121</v>
      </c>
      <c r="N12" s="46" t="s">
        <v>122</v>
      </c>
      <c r="O12" s="46" t="s">
        <v>123</v>
      </c>
      <c r="P12" s="46" t="s">
        <v>121</v>
      </c>
      <c r="Q12" s="46" t="s">
        <v>124</v>
      </c>
      <c r="R12" s="47">
        <v>100</v>
      </c>
      <c r="S12" s="48">
        <v>3.5</v>
      </c>
    </row>
    <row r="13" spans="2:19">
      <c r="B13" s="40" t="s">
        <v>125</v>
      </c>
      <c r="C13" s="41" t="s">
        <v>126</v>
      </c>
      <c r="D13" s="40" t="s">
        <v>127</v>
      </c>
      <c r="E13" s="41" t="s">
        <v>118</v>
      </c>
      <c r="F13" s="40" t="s">
        <v>128</v>
      </c>
      <c r="G13" s="41" t="s">
        <v>119</v>
      </c>
      <c r="H13" s="40" t="s">
        <v>128</v>
      </c>
      <c r="I13" s="41" t="s">
        <v>120</v>
      </c>
      <c r="J13" s="42">
        <v>50</v>
      </c>
      <c r="K13" s="42">
        <v>9</v>
      </c>
      <c r="M13" s="46" t="s">
        <v>129</v>
      </c>
      <c r="N13" s="46" t="s">
        <v>130</v>
      </c>
      <c r="O13" s="46" t="s">
        <v>131</v>
      </c>
      <c r="P13" s="46" t="s">
        <v>129</v>
      </c>
      <c r="Q13" s="46" t="s">
        <v>132</v>
      </c>
      <c r="R13" s="47">
        <v>100</v>
      </c>
      <c r="S13" s="48">
        <v>1.5</v>
      </c>
    </row>
    <row r="14" spans="2:19">
      <c r="B14" s="40" t="s">
        <v>133</v>
      </c>
      <c r="C14" s="41" t="s">
        <v>134</v>
      </c>
      <c r="D14" s="40" t="s">
        <v>135</v>
      </c>
      <c r="E14" s="41" t="s">
        <v>134</v>
      </c>
      <c r="F14" s="40" t="s">
        <v>136</v>
      </c>
      <c r="G14" s="41" t="s">
        <v>134</v>
      </c>
      <c r="H14" s="40" t="s">
        <v>136</v>
      </c>
      <c r="I14" s="41" t="s">
        <v>134</v>
      </c>
      <c r="J14" s="42">
        <v>100</v>
      </c>
      <c r="K14" s="42">
        <v>8.5</v>
      </c>
      <c r="M14" s="49" t="s">
        <v>137</v>
      </c>
      <c r="N14" s="49" t="s">
        <v>138</v>
      </c>
      <c r="O14" s="49" t="s">
        <v>139</v>
      </c>
      <c r="P14" s="49" t="s">
        <v>137</v>
      </c>
      <c r="Q14" s="49" t="s">
        <v>140</v>
      </c>
      <c r="R14" s="50">
        <v>100</v>
      </c>
      <c r="S14" s="51">
        <v>0</v>
      </c>
    </row>
    <row r="15" spans="2:19">
      <c r="B15" s="40" t="s">
        <v>141</v>
      </c>
      <c r="C15" s="41" t="s">
        <v>134</v>
      </c>
      <c r="D15" s="40" t="s">
        <v>142</v>
      </c>
      <c r="E15" s="41" t="s">
        <v>134</v>
      </c>
      <c r="F15" s="40" t="s">
        <v>141</v>
      </c>
      <c r="G15" s="41" t="s">
        <v>134</v>
      </c>
      <c r="H15" s="40" t="s">
        <v>141</v>
      </c>
      <c r="I15" s="41" t="s">
        <v>134</v>
      </c>
      <c r="J15" s="42">
        <v>100</v>
      </c>
      <c r="K15" s="42">
        <v>8</v>
      </c>
      <c r="S15" s="11"/>
    </row>
    <row r="16" spans="2:19">
      <c r="B16" s="52" t="s">
        <v>143</v>
      </c>
      <c r="C16" s="53" t="s">
        <v>134</v>
      </c>
      <c r="D16" s="52" t="s">
        <v>144</v>
      </c>
      <c r="E16" s="53" t="s">
        <v>134</v>
      </c>
      <c r="F16" s="52" t="s">
        <v>145</v>
      </c>
      <c r="G16" s="53" t="s">
        <v>134</v>
      </c>
      <c r="H16" s="52" t="s">
        <v>145</v>
      </c>
      <c r="I16" s="53" t="s">
        <v>134</v>
      </c>
      <c r="J16" s="54">
        <v>100</v>
      </c>
      <c r="K16" s="54">
        <v>7.5</v>
      </c>
      <c r="S16" s="11"/>
    </row>
    <row r="17" spans="2:19">
      <c r="S17" s="11"/>
    </row>
    <row r="29" spans="2:19" ht="12.75">
      <c r="B29" s="55"/>
    </row>
    <row r="58" spans="2:2">
      <c r="B58" s="11" t="s">
        <v>146</v>
      </c>
    </row>
    <row r="59" spans="2:2">
      <c r="B59" s="11" t="s">
        <v>146</v>
      </c>
    </row>
    <row r="60" spans="2:2">
      <c r="B60" s="11" t="s">
        <v>146</v>
      </c>
    </row>
    <row r="61" spans="2:2">
      <c r="B61" s="11" t="s">
        <v>146</v>
      </c>
    </row>
    <row r="62" spans="2:2">
      <c r="B62" s="11" t="s">
        <v>146</v>
      </c>
    </row>
    <row r="63" spans="2:2">
      <c r="B63" s="11" t="s">
        <v>146</v>
      </c>
    </row>
    <row r="64" spans="2:2">
      <c r="B64" s="11" t="s">
        <v>146</v>
      </c>
    </row>
    <row r="65" spans="2:13">
      <c r="B65" s="11" t="s">
        <v>146</v>
      </c>
      <c r="M65" s="56"/>
    </row>
    <row r="66" spans="2:13">
      <c r="B66" s="11">
        <v>100</v>
      </c>
    </row>
    <row r="68" spans="2:13">
      <c r="M68" s="56"/>
    </row>
  </sheetData>
  <mergeCells count="13">
    <mergeCell ref="B1:C2"/>
    <mergeCell ref="D1:E2"/>
    <mergeCell ref="F1:G2"/>
    <mergeCell ref="H1:I2"/>
    <mergeCell ref="J1:J3"/>
    <mergeCell ref="Q1:Q3"/>
    <mergeCell ref="R1:R3"/>
    <mergeCell ref="S1:S3"/>
    <mergeCell ref="K1:K3"/>
    <mergeCell ref="M1:M3"/>
    <mergeCell ref="N1:N3"/>
    <mergeCell ref="O1:O3"/>
    <mergeCell ref="P1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Assumptions</vt:lpstr>
      <vt:lpstr>Summary</vt:lpstr>
      <vt:lpstr>Worked Examples</vt:lpstr>
      <vt:lpstr>CCFs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McCauley</dc:creator>
  <cp:lastModifiedBy>Sasha Townsend</cp:lastModifiedBy>
  <dcterms:created xsi:type="dcterms:W3CDTF">2016-09-22T10:22:42Z</dcterms:created>
  <dcterms:modified xsi:type="dcterms:W3CDTF">2016-09-27T18:12:10Z</dcterms:modified>
</cp:coreProperties>
</file>